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KDR 2018/Dropbox (TextileCenter)/Textile Share/documents/Board Items/Monthly Meeting Materials/FY20/03 - June/Board Meeting Materials/"/>
    </mc:Choice>
  </mc:AlternateContent>
  <xr:revisionPtr revIDLastSave="0" documentId="8_{01D5F726-28B3-3742-9848-9BACA0895E5B}" xr6:coauthVersionLast="43" xr6:coauthVersionMax="43" xr10:uidLastSave="{00000000-0000-0000-0000-000000000000}"/>
  <bookViews>
    <workbookView xWindow="0" yWindow="460" windowWidth="25600" windowHeight="12140" xr2:uid="{00000000-000D-0000-FFFF-FFFF00000000}"/>
  </bookViews>
  <sheets>
    <sheet name="Recap" sheetId="1" r:id="rId1"/>
    <sheet name="Balance Sheet" sheetId="5" r:id="rId2"/>
    <sheet name="Operating Summary" sheetId="3" r:id="rId3"/>
    <sheet name="Operating Stmt of Activities" sheetId="2" r:id="rId4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REPT([0]!LOCAL_YEAR_FORMAT,4)&amp;Recap!LOCAL_DATE_SEPARATOR&amp;REPT(Recap!LOCAL_MONTH_FORMAT,2)&amp;Recap!LOCAL_DATE_SEPARATOR&amp;REPT(Recap!LOCAL_DAY_FORMAT,2)&amp;" "&amp;REPT(Recap!LOCAL_HOUR_FORMAT,2)&amp;[0]!LOCAL_TIME_SEPARATOR&amp;REPT(Recap!LOCAL_MINUTE_FORMAT,2)&amp;[0]!LOCAL_TIME_SEPARATOR&amp;REPT([0]!LOCAL_SECOND_FORMAT,2)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Sheet'!$A:$F,'Balance Sheet'!$1:$1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29" localSheetId="1" hidden="1">'Balance Sheet'!$G$1</definedName>
    <definedName name="QB_COLUMN_59200" localSheetId="3" hidden="1">'Operating Stmt of Activities'!$H$2</definedName>
    <definedName name="QB_COLUMN_59200" localSheetId="2" hidden="1">'Operating Summary'!$F$2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3" hidden="1">'Operating Stmt of Activities'!$T$2</definedName>
    <definedName name="QB_COLUMN_76260" localSheetId="2" hidden="1">'Operating Summary'!$R$2</definedName>
    <definedName name="QB_DATA_0" localSheetId="1" hidden="1">'Balance Sheet'!$5:$5,'Balance Sheet'!$6:$6,'Balance Sheet'!$7:$7,'Balance Sheet'!$10:$10,'Balance Sheet'!$11:$11,'Balance Sheet'!$16:$16,'Balance Sheet'!$17:$17,'Balance Sheet'!$18:$18,'Balance Sheet'!$19:$19,'Balance Sheet'!$20:$20,'Balance Sheet'!$21:$21,'Balance Sheet'!$22:$22,'Balance Sheet'!$27:$27,'Balance Sheet'!$28:$28,'Balance Sheet'!$29:$29,'Balance Sheet'!$30:$30</definedName>
    <definedName name="QB_DATA_0" localSheetId="3" hidden="1">'Operating Stmt of Activities'!$6:$6,'Operating Stmt of Activities'!$7:$7,'Operating Stmt of Activities'!$8:$8,'Operating Stmt of Activities'!$9:$9,'Operating Stmt of Activities'!$11:$11,'Operating Stmt of Activities'!$14:$14,'Operating Stmt of Activities'!$15:$15,'Operating Stmt of Activities'!$16:$16,'Operating Stmt of Activities'!$17:$17,'Operating Stmt of Activities'!$18:$18,'Operating Stmt of Activities'!$21:$21,'Operating Stmt of Activities'!$22:$22,'Operating Stmt of Activities'!$23:$23,'Operating Stmt of Activities'!$26:$26,'Operating Stmt of Activities'!$27:$27,'Operating Stmt of Activities'!$28:$28</definedName>
    <definedName name="QB_DATA_0" localSheetId="2" hidden="1">'Operating Summary'!$5:$5,'Operating Summary'!$8:$8,'Operating Summary'!$9:$9,'Operating Summary'!$10:$10,'Operating Summary'!$11:$11,'Operating Summary'!$12:$12,'Operating Summary'!$13:$13,'Operating Summary'!$14:$14,'Operating Summary'!$17:$17,'Operating Summary'!$18:$18,'Operating Summary'!$19:$19,'Operating Summary'!$20:$20,'Operating Summary'!$21:$21,'Operating Summary'!$22:$22,'Operating Summary'!$26:$26,'Operating Summary'!$27:$27</definedName>
    <definedName name="QB_DATA_1" localSheetId="1" hidden="1">'Balance Sheet'!$34:$34,'Balance Sheet'!$35:$35,'Balance Sheet'!$36:$36,'Balance Sheet'!$39:$39,'Balance Sheet'!$40:$40,'Balance Sheet'!$43:$43,'Balance Sheet'!$44:$44,'Balance Sheet'!$46:$46,'Balance Sheet'!$50:$50,'Balance Sheet'!$51:$51,'Balance Sheet'!$52:$52,'Balance Sheet'!$53:$53,'Balance Sheet'!$54:$54,'Balance Sheet'!$55:$55,'Balance Sheet'!$56:$56,'Balance Sheet'!$63:$63</definedName>
    <definedName name="QB_DATA_1" localSheetId="3" hidden="1">'Operating Stmt of Activities'!$29:$29,'Operating Stmt of Activities'!$30:$30,'Operating Stmt of Activities'!$34:$34,'Operating Stmt of Activities'!$35:$35,'Operating Stmt of Activities'!$36:$36,'Operating Stmt of Activities'!$37:$37,'Operating Stmt of Activities'!$40:$40,'Operating Stmt of Activities'!$41:$41,'Operating Stmt of Activities'!$42:$42,'Operating Stmt of Activities'!$43:$43,'Operating Stmt of Activities'!$48:$48,'Operating Stmt of Activities'!$49:$49,'Operating Stmt of Activities'!$50:$50,'Operating Stmt of Activities'!$51:$51,'Operating Stmt of Activities'!$52:$52,'Operating Stmt of Activities'!$55:$55</definedName>
    <definedName name="QB_DATA_1" localSheetId="2" hidden="1">'Operating Summary'!$28:$28,'Operating Summary'!$29:$29,'Operating Summary'!$30:$30,'Operating Summary'!$31:$31,'Operating Summary'!$32:$32,'Operating Summary'!$33:$33,'Operating Summary'!$38:$38,'Operating Summary'!$39:$39,'Operating Summary'!$40:$40</definedName>
    <definedName name="QB_DATA_2" localSheetId="1" hidden="1">'Balance Sheet'!$66:$66,'Balance Sheet'!$67:$67,'Balance Sheet'!$68:$68,'Balance Sheet'!$72:$72,'Balance Sheet'!$74:$74,'Balance Sheet'!$75:$75,'Balance Sheet'!$76:$76,'Balance Sheet'!$77:$77,'Balance Sheet'!$78:$78,'Balance Sheet'!$79:$79,'Balance Sheet'!$83:$83,'Balance Sheet'!$87:$87,'Balance Sheet'!$88:$88,'Balance Sheet'!$89:$89,'Balance Sheet'!$90:$90,'Balance Sheet'!$91:$91</definedName>
    <definedName name="QB_DATA_2" localSheetId="3" hidden="1">'Operating Stmt of Activities'!$56:$56,'Operating Stmt of Activities'!$59:$59,'Operating Stmt of Activities'!$61:$61,'Operating Stmt of Activities'!$62:$62,'Operating Stmt of Activities'!$63:$63,'Operating Stmt of Activities'!$64:$64,'Operating Stmt of Activities'!$68:$68,'Operating Stmt of Activities'!$69:$69,'Operating Stmt of Activities'!$70:$70,'Operating Stmt of Activities'!$71:$71,'Operating Stmt of Activities'!$72:$72,'Operating Stmt of Activities'!$73:$73,'Operating Stmt of Activities'!$78:$78,'Operating Stmt of Activities'!$79:$79,'Operating Stmt of Activities'!$80:$80,'Operating Stmt of Activities'!$81:$81</definedName>
    <definedName name="QB_DATA_3" localSheetId="1" hidden="1">'Balance Sheet'!$92:$92,'Balance Sheet'!$93:$93</definedName>
    <definedName name="QB_DATA_3" localSheetId="3" hidden="1">'Operating Stmt of Activities'!$82:$82,'Operating Stmt of Activities'!$83:$83,'Operating Stmt of Activities'!$86:$86,'Operating Stmt of Activities'!$87:$87,'Operating Stmt of Activities'!$88:$88,'Operating Stmt of Activities'!$89:$89,'Operating Stmt of Activities'!$90:$90,'Operating Stmt of Activities'!$91:$91,'Operating Stmt of Activities'!$92:$92,'Operating Stmt of Activities'!$95:$95,'Operating Stmt of Activities'!$96:$96,'Operating Stmt of Activities'!$97:$97,'Operating Stmt of Activities'!$98:$98,'Operating Stmt of Activities'!$99:$99,'Operating Stmt of Activities'!$100:$100,'Operating Stmt of Activities'!$103:$103</definedName>
    <definedName name="QB_DATA_4" localSheetId="3" hidden="1">'Operating Stmt of Activities'!$104:$104,'Operating Stmt of Activities'!$105:$105,'Operating Stmt of Activities'!$106:$106,'Operating Stmt of Activities'!$107:$107,'Operating Stmt of Activities'!$108:$108,'Operating Stmt of Activities'!$109:$109,'Operating Stmt of Activities'!$110:$110,'Operating Stmt of Activities'!$111:$111,'Operating Stmt of Activities'!$114:$114,'Operating Stmt of Activities'!$115:$115,'Operating Stmt of Activities'!$116:$116,'Operating Stmt of Activities'!$117:$117,'Operating Stmt of Activities'!$120:$120,'Operating Stmt of Activities'!$121:$121,'Operating Stmt of Activities'!$122:$122,'Operating Stmt of Activities'!$125:$125</definedName>
    <definedName name="QB_DATA_5" localSheetId="3" hidden="1">'Operating Stmt of Activities'!$126:$126,'Operating Stmt of Activities'!$127:$127,'Operating Stmt of Activities'!$128:$128,'Operating Stmt of Activities'!$129:$129,'Operating Stmt of Activities'!$130:$130,'Operating Stmt of Activities'!$131:$131,'Operating Stmt of Activities'!$134:$134,'Operating Stmt of Activities'!$135:$135,'Operating Stmt of Activities'!$136:$136,'Operating Stmt of Activities'!$143:$143,'Operating Stmt of Activities'!$145:$145,'Operating Stmt of Activities'!$146:$146</definedName>
    <definedName name="QB_FORMULA_0" localSheetId="1" hidden="1">'Balance Sheet'!$G$12,'Balance Sheet'!$G$13,'Balance Sheet'!$G$23,'Balance Sheet'!$G$24,'Balance Sheet'!$G$25,'Balance Sheet'!$G$31,'Balance Sheet'!$G$37,'Balance Sheet'!$G$41,'Balance Sheet'!$G$45,'Balance Sheet'!$G$47,'Balance Sheet'!$G$48,'Balance Sheet'!$G$57,'Balance Sheet'!$G$58,'Balance Sheet'!$G$64,'Balance Sheet'!$G$69,'Balance Sheet'!$G$73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Activities'!$L$11,'Operating Stmt of Activities'!$R$11,'Operating Stmt of Activities'!$H$12,'Operating Stmt of Activities'!$J$12,'Operating Stmt of Activities'!$L$12,'Operating Stmt of Activities'!$N$12,'Operating Stmt of Activities'!$P$12,'Operating Stmt of Activities'!$R$12</definedName>
    <definedName name="QB_FORMULA_0" localSheetId="2" hidden="1">'Operating Summary'!$J$5,'Operating Summary'!$P$5,'Operating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Summary'!$P$13,'Operating Summary'!$J$14,'Operating Summary'!$P$14</definedName>
    <definedName name="QB_FORMULA_1" localSheetId="1" hidden="1">'Balance Sheet'!$G$80,'Balance Sheet'!$G$81,'Balance Sheet'!$G$84,'Balance Sheet'!$G$85,'Balance Sheet'!$G$94,'Balance Sheet'!$G$95</definedName>
    <definedName name="QB_FORMULA_1" localSheetId="3" hidden="1">'Operating Stmt of Activities'!$T$12,'Operating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Activities'!$L$18,'Operating Stmt of Activities'!$R$18,'Operating Stmt of Activities'!$H$19,'Operating Stmt of Activities'!$J$19,'Operating Stmt of Activities'!$L$19,'Operating Stmt of Activities'!$N$19,'Operating Stmt of Activities'!$P$19</definedName>
    <definedName name="QB_FORMULA_1" localSheetId="2" hidden="1">'Operating Summary'!$F$15,'Operating Summary'!$H$15,'Operating Summary'!$J$15,'Operating Summary'!$L$15,'Operating Summary'!$N$15,'Operating Summary'!$P$15,'Operating Summary'!$R$15,'Operating Summary'!$J$17,'Operating Summary'!$P$17,'Operating Summary'!$J$18,'Operating Summary'!$P$18,'Operating Summary'!$J$19,'Operating Summary'!$P$19,'Operating Summary'!$J$20,'Operating Summary'!$P$20,'Operating Summary'!$J$21</definedName>
    <definedName name="QB_FORMULA_10" localSheetId="3" hidden="1">'Operating Stmt of Activities'!$L$68,'Operating Stmt of Activities'!$R$68,'Operating Stmt of Activities'!$L$69,'Operating Stmt of Activities'!$R$69,'Operating Stmt of Activities'!$L$70,'Operating Stmt of Activities'!$R$70,'Operating Stmt of Activities'!$L$71,'Operating Stmt of Activities'!$R$71,'Operating Stmt of Activities'!$L$72,'Operating Stmt of Activities'!$R$72,'Operating Stmt of Activities'!$L$73,'Operating Stmt of Activities'!$R$73,'Operating Stmt of Activities'!$H$74,'Operating Stmt of Activities'!$J$74,'Operating Stmt of Activities'!$L$74,'Operating Stmt of Activities'!$N$74</definedName>
    <definedName name="QB_FORMULA_11" localSheetId="3" hidden="1">'Operating Stmt of Activities'!$P$74,'Operating Stmt of Activities'!$R$74,'Operating Stmt of Activities'!$T$74,'Operating Stmt of Activities'!$H$75,'Operating Stmt of Activities'!$J$75,'Operating Stmt of Activities'!$L$75,'Operating Stmt of Activities'!$N$75,'Operating Stmt of Activities'!$P$75,'Operating Stmt of Activities'!$R$75,'Operating Stmt of Activities'!$T$75,'Operating Stmt of Activities'!$L$78,'Operating Stmt of Activities'!$R$78,'Operating Stmt of Activities'!$L$79,'Operating Stmt of Activities'!$R$79,'Operating Stmt of Activities'!$L$80,'Operating Stmt of Activities'!$R$80</definedName>
    <definedName name="QB_FORMULA_12" localSheetId="3" hidden="1">'Operating Stmt of Activities'!$L$81,'Operating Stmt of Activities'!$R$81,'Operating Stmt of Activities'!$L$82,'Operating Stmt of Activities'!$R$82,'Operating Stmt of Activities'!$H$84,'Operating Stmt of Activities'!$J$84,'Operating Stmt of Activities'!$L$84,'Operating Stmt of Activities'!$N$84,'Operating Stmt of Activities'!$P$84,'Operating Stmt of Activities'!$R$84,'Operating Stmt of Activities'!$T$84,'Operating Stmt of Activities'!$L$86,'Operating Stmt of Activities'!$R$86,'Operating Stmt of Activities'!$L$87,'Operating Stmt of Activities'!$R$87,'Operating Stmt of Activities'!$L$88</definedName>
    <definedName name="QB_FORMULA_13" localSheetId="3" hidden="1">'Operating Stmt of Activities'!$R$88,'Operating Stmt of Activities'!$L$89,'Operating Stmt of Activities'!$R$89,'Operating Stmt of Activities'!$L$90,'Operating Stmt of Activities'!$R$90,'Operating Stmt of Activities'!$L$91,'Operating Stmt of Activities'!$R$91,'Operating Stmt of Activities'!$L$92,'Operating Stmt of Activities'!$R$92,'Operating Stmt of Activities'!$H$93,'Operating Stmt of Activities'!$J$93,'Operating Stmt of Activities'!$L$93,'Operating Stmt of Activities'!$N$93,'Operating Stmt of Activities'!$P$93,'Operating Stmt of Activities'!$R$93,'Operating Stmt of Activities'!$T$93</definedName>
    <definedName name="QB_FORMULA_14" localSheetId="3" hidden="1">'Operating Stmt of Activities'!$L$95,'Operating Stmt of Activities'!$R$95,'Operating Stmt of Activities'!$L$96,'Operating Stmt of Activities'!$R$96,'Operating Stmt of Activities'!$L$97,'Operating Stmt of Activities'!$R$97,'Operating Stmt of Activities'!$L$98,'Operating Stmt of Activities'!$R$98,'Operating Stmt of Activities'!$L$99,'Operating Stmt of Activities'!$R$99,'Operating Stmt of Activities'!$L$100,'Operating Stmt of Activities'!$R$100,'Operating Stmt of Activities'!$H$101,'Operating Stmt of Activities'!$J$101,'Operating Stmt of Activities'!$L$101,'Operating Stmt of Activities'!$N$101</definedName>
    <definedName name="QB_FORMULA_15" localSheetId="3" hidden="1">'Operating Stmt of Activities'!$P$101,'Operating Stmt of Activities'!$R$101,'Operating Stmt of Activities'!$T$101,'Operating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Activities'!$L$107,'Operating Stmt of Activities'!$R$107,'Operating Stmt of Activities'!$L$108,'Operating Stmt of Activities'!$R$108,'Operating Stmt of Activities'!$L$109</definedName>
    <definedName name="QB_FORMULA_16" localSheetId="3" hidden="1">'Operating Stmt of Activities'!$R$109,'Operating Stmt of Activities'!$L$110,'Operating Stmt of Activities'!$R$110,'Operating Stmt of Activities'!$L$111,'Operating Stmt of Activities'!$R$111,'Operating Stmt of Activities'!$H$112,'Operating Stmt of Activities'!$J$112,'Operating Stmt of Activities'!$L$112,'Operating Stmt of Activities'!$N$112,'Operating Stmt of Activities'!$P$112,'Operating Stmt of Activities'!$R$112,'Operating Stmt of Activities'!$T$112,'Operating Stmt of Activities'!$L$114,'Operating Stmt of Activities'!$R$114,'Operating Stmt of Activities'!$L$115,'Operating Stmt of Activities'!$R$115</definedName>
    <definedName name="QB_FORMULA_17" localSheetId="3" hidden="1">'Operating Stmt of Activities'!$L$116,'Operating Stmt of Activities'!$R$116,'Operating Stmt of Activities'!$L$117,'Operating Stmt of Activities'!$R$117,'Operating Stmt of Activities'!$H$118,'Operating Stmt of Activities'!$J$118,'Operating Stmt of Activities'!$L$118,'Operating Stmt of Activities'!$N$118,'Operating Stmt of Activities'!$P$118,'Operating Stmt of Activities'!$R$118,'Operating Stmt of Activities'!$T$118,'Operating Stmt of Activities'!$L$120,'Operating Stmt of Activities'!$R$120,'Operating Stmt of Activities'!$L$121,'Operating Stmt of Activities'!$R$121,'Operating Stmt of Activities'!$L$122</definedName>
    <definedName name="QB_FORMULA_18" localSheetId="3" hidden="1">'Operating Stmt of Activities'!$R$122,'Operating Stmt of Activities'!$H$123,'Operating Stmt of Activities'!$J$123,'Operating Stmt of Activities'!$L$123,'Operating Stmt of Activities'!$N$123,'Operating Stmt of Activities'!$P$123,'Operating Stmt of Activities'!$R$123,'Operating Stmt of Activities'!$T$123,'Operating Stmt of Activities'!$L$125,'Operating Stmt of Activities'!$R$125,'Operating Stmt of Activities'!$L$126,'Operating Stmt of Activities'!$R$126,'Operating Stmt of Activities'!$L$127,'Operating Stmt of Activities'!$R$127,'Operating Stmt of Activities'!$L$128,'Operating Stmt of Activities'!$R$128</definedName>
    <definedName name="QB_FORMULA_19" localSheetId="3" hidden="1">'Operating Stmt of Activities'!$L$129,'Operating Stmt of Activities'!$R$129,'Operating Stmt of Activities'!$L$130,'Operating Stmt of Activities'!$R$130,'Operating Stmt of Activities'!$L$131,'Operating Stmt of Activities'!$R$131,'Operating Stmt of Activities'!$H$132,'Operating Stmt of Activities'!$J$132,'Operating Stmt of Activities'!$L$132,'Operating Stmt of Activities'!$N$132,'Operating Stmt of Activities'!$P$132,'Operating Stmt of Activities'!$R$132,'Operating Stmt of Activities'!$T$132,'Operating Stmt of Activities'!$L$134,'Operating Stmt of Activities'!$R$134,'Operating Stmt of Activities'!$L$135</definedName>
    <definedName name="QB_FORMULA_2" localSheetId="3" hidden="1">'Operating Stmt of Activities'!$R$19,'Operating Stmt of Activities'!$T$19,'Operating Stmt of Activities'!$L$21,'Operating Stmt of Activities'!$R$21,'Operating Stmt of Activities'!$L$22,'Operating Stmt of Activities'!$R$22,'Operating Stmt of Activities'!$L$23,'Operating Stmt of Activities'!$R$23,'Operating Stmt of Activities'!$H$24,'Operating Stmt of Activities'!$J$24,'Operating Stmt of Activities'!$L$24,'Operating Stmt of Activities'!$N$24,'Operating Stmt of Activities'!$P$24,'Operating Stmt of Activities'!$R$24,'Operating Stmt of Activities'!$T$24,'Operating Stmt of Activities'!$L$26</definedName>
    <definedName name="QB_FORMULA_2" localSheetId="2" hidden="1">'Operating Summary'!$P$21,'Operating Summary'!$J$22,'Operating Summary'!$P$22,'Operating Summary'!$F$23,'Operating Summary'!$H$23,'Operating Summary'!$J$23,'Operating Summary'!$L$23,'Operating Summary'!$N$23,'Operating Summary'!$P$23,'Operating Summary'!$R$23,'Operating Summary'!$F$24,'Operating Summary'!$H$24,'Operating Summary'!$J$24,'Operating Summary'!$L$24,'Operating Summary'!$N$24,'Operating Summary'!$P$24</definedName>
    <definedName name="QB_FORMULA_20" localSheetId="3" hidden="1">'Operating Stmt of Activities'!$R$135,'Operating Stmt of Activities'!$L$136,'Operating Stmt of Activities'!$R$136,'Operating Stmt of Activities'!$H$137,'Operating Stmt of Activities'!$J$137,'Operating Stmt of Activities'!$L$137,'Operating Stmt of Activities'!$N$137,'Operating Stmt of Activities'!$P$137,'Operating Stmt of Activities'!$R$137,'Operating Stmt of Activities'!$T$137,'Operating Stmt of Activities'!$H$138,'Operating Stmt of Activities'!$J$138,'Operating Stmt of Activities'!$L$138,'Operating Stmt of Activities'!$N$138,'Operating Stmt of Activities'!$P$138,'Operating Stmt of Activities'!$R$138</definedName>
    <definedName name="QB_FORMULA_21" localSheetId="3" hidden="1">'Operating Stmt of Activities'!$T$138,'Operating Stmt of Activities'!$H$139,'Operating Stmt of Activities'!$J$139,'Operating Stmt of Activities'!$L$139,'Operating Stmt of Activities'!$N$139,'Operating Stmt of Activities'!$P$139,'Operating Stmt of Activities'!$R$139,'Operating Stmt of Activities'!$T$139,'Operating Stmt of Activities'!$L$143,'Operating Stmt of Activities'!$R$143,'Operating Stmt of Activities'!$H$144,'Operating Stmt of Activities'!$J$144,'Operating Stmt of Activities'!$L$144,'Operating Stmt of Activities'!$N$144,'Operating Stmt of Activities'!$P$144,'Operating Stmt of Activities'!$R$144</definedName>
    <definedName name="QB_FORMULA_22" localSheetId="3" hidden="1">'Operating Stmt of Activities'!$T$144,'Operating Stmt of Activities'!$L$145,'Operating Stmt of Activities'!$R$145,'Operating Stmt of Activities'!$L$146,'Operating Stmt of Activities'!$R$146,'Operating Stmt of Activities'!$H$147,'Operating Stmt of Activities'!$J$147,'Operating Stmt of Activities'!$L$147,'Operating Stmt of Activities'!$N$147,'Operating Stmt of Activities'!$P$147,'Operating Stmt of Activities'!$R$147,'Operating Stmt of Activities'!$T$147,'Operating Stmt of Activities'!$H$148,'Operating Stmt of Activities'!$J$148,'Operating Stmt of Activities'!$L$148,'Operating Stmt of Activities'!$N$148</definedName>
    <definedName name="QB_FORMULA_23" localSheetId="3" hidden="1">'Operating Stmt of Activities'!$P$148,'Operating Stmt of Activities'!$R$148,'Operating Stmt of Activities'!$T$148,'Operating Stmt of Activities'!$H$149,'Operating Stmt of Activities'!$J$149,'Operating Stmt of Activities'!$L$149,'Operating Stmt of Activities'!$N$149,'Operating Stmt of Activities'!$P$149,'Operating Stmt of Activities'!$R$149,'Operating Stmt of Activities'!$T$149</definedName>
    <definedName name="QB_FORMULA_3" localSheetId="3" hidden="1">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Activities'!$L$30,'Operating Stmt of Activities'!$R$30,'Operating Stmt of Activities'!$H$31,'Operating Stmt of Activities'!$J$31,'Operating Stmt of Activities'!$L$31,'Operating Stmt of Activities'!$N$31,'Operating Stmt of Activities'!$P$31,'Operating Stmt of Activities'!$R$31,'Operating Stmt of Activities'!$T$31</definedName>
    <definedName name="QB_FORMULA_3" localSheetId="2" hidden="1">'Operating Summary'!$R$24,'Operating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Summary'!$J$32,'Operating Summary'!$P$32,'Operating Summary'!$J$33</definedName>
    <definedName name="QB_FORMULA_4" localSheetId="3" hidden="1">'Operating Stmt of Activities'!$L$34,'Operating Stmt of Activities'!$R$34,'Operating Stmt of Activities'!$L$35,'Operating Stmt of Activities'!$R$35,'Operating Stmt of Activities'!$L$36,'Operating Stmt of Activities'!$R$36,'Operating Stmt of Activities'!$L$37,'Operating Stmt of Activities'!$R$37,'Operating Stmt of Activities'!$H$38,'Operating Stmt of Activities'!$J$38,'Operating Stmt of Activities'!$L$38,'Operating Stmt of Activities'!$N$38,'Operating Stmt of Activities'!$P$38,'Operating Stmt of Activities'!$R$38,'Operating Stmt of Activities'!$T$38,'Operating Stmt of Activities'!$L$40</definedName>
    <definedName name="QB_FORMULA_4" localSheetId="2" hidden="1">'Operating Summary'!$P$33,'Operating Summary'!$F$34,'Operating Summary'!$H$34,'Operating Summary'!$J$34,'Operating Summary'!$L$34,'Operating Summary'!$N$34,'Operating Summary'!$P$34,'Operating Summary'!$R$34,'Operating Summary'!$F$35,'Operating Summary'!$H$35,'Operating Summary'!$J$35,'Operating Summary'!$L$35,'Operating Summary'!$N$35,'Operating Summary'!$P$35,'Operating Summary'!$R$35,'Operating Summary'!$J$38</definedName>
    <definedName name="QB_FORMULA_5" localSheetId="3" hidden="1">'Operating Stmt of Activities'!$R$40,'Operating Stmt of Activities'!$L$41,'Operating Stmt of Activities'!$R$41,'Operating Stmt of Activities'!$L$42,'Operating Stmt of Activities'!$R$42,'Operating Stmt of Activities'!$L$43,'Operating Stmt of Activities'!$R$43,'Operating Stmt of Activities'!$H$44,'Operating Stmt of Activities'!$J$44,'Operating Stmt of Activities'!$L$44,'Operating Stmt of Activities'!$N$44,'Operating Stmt of Activities'!$P$44,'Operating Stmt of Activities'!$R$44,'Operating Stmt of Activities'!$T$44,'Operating Stmt of Activities'!$H$45,'Operating Stmt of Activities'!$J$45</definedName>
    <definedName name="QB_FORMULA_5" localSheetId="2" hidden="1">'Operating Summary'!$P$38,'Operating Summary'!$J$39,'Operating Summary'!$P$39,'Operating Summary'!$J$40,'Operating Summary'!$P$40,'Operating Summary'!$F$41,'Operating Summary'!$H$41,'Operating Summary'!$J$41,'Operating Summary'!$L$41,'Operating Summary'!$N$41,'Operating Summary'!$P$41,'Operating Summary'!$R$41,'Operating Summary'!$F$42,'Operating Summary'!$H$42,'Operating Summary'!$J$42,'Operating Summary'!$L$42</definedName>
    <definedName name="QB_FORMULA_6" localSheetId="3" hidden="1">'Operating Stmt of Activities'!$L$45,'Operating Stmt of Activities'!$N$45,'Operating Stmt of Activities'!$P$45,'Operating Stmt of Activities'!$R$45,'Operating Stmt of Activities'!$T$45,'Operating Stmt of Activities'!$L$48,'Operating Stmt of Activities'!$R$48,'Operating Stmt of Activities'!$L$49,'Operating Stmt of Activities'!$R$49,'Operating Stmt of Activities'!$L$50,'Operating Stmt of Activities'!$R$50,'Operating Stmt of Activities'!$L$51,'Operating Stmt of Activities'!$R$51,'Operating Stmt of Activities'!$L$52,'Operating Stmt of Activities'!$R$52,'Operating Stmt of Activities'!$H$53</definedName>
    <definedName name="QB_FORMULA_6" localSheetId="2" hidden="1">'Operating Summary'!$N$42,'Operating Summary'!$P$42,'Operating Summary'!$R$42,'Operating Summary'!$F$43,'Operating Summary'!$H$43,'Operating Summary'!$J$43,'Operating Summary'!$L$43,'Operating Summary'!$N$43,'Operating Summary'!$P$43,'Operating Summary'!$R$43</definedName>
    <definedName name="QB_FORMULA_7" localSheetId="3" hidden="1">'Operating Stmt of Activities'!$J$53,'Operating Stmt of Activities'!$L$53,'Operating Stmt of Activities'!$N$53,'Operating Stmt of Activities'!$P$53,'Operating Stmt of Activities'!$R$53,'Operating Stmt of Activities'!$T$53,'Operating Stmt of Activities'!$L$55,'Operating Stmt of Activities'!$R$55,'Operating Stmt of Activities'!$L$56,'Operating Stmt of Activities'!$R$56,'Operating Stmt of Activities'!$H$57,'Operating Stmt of Activities'!$J$57,'Operating Stmt of Activities'!$L$57,'Operating Stmt of Activities'!$N$57,'Operating Stmt of Activities'!$P$57,'Operating Stmt of Activities'!$R$57</definedName>
    <definedName name="QB_FORMULA_8" localSheetId="3" hidden="1">'Operating Stmt of Activities'!$T$57,'Operating Stmt of Activities'!$H$58,'Operating Stmt of Activities'!$J$58,'Operating Stmt of Activities'!$L$58,'Operating Stmt of Activities'!$N$58,'Operating Stmt of Activities'!$P$58,'Operating Stmt of Activities'!$R$58,'Operating Stmt of Activities'!$T$58,'Operating Stmt of Activities'!$L$59,'Operating Stmt of Activities'!$R$59,'Operating Stmt of Activities'!$L$61,'Operating Stmt of Activities'!$R$61,'Operating Stmt of Activities'!$L$62,'Operating Stmt of Activities'!$R$62,'Operating Stmt of Activities'!$L$63,'Operating Stmt of Activities'!$R$63</definedName>
    <definedName name="QB_FORMULA_9" localSheetId="3" hidden="1">'Operating Stmt of Activities'!$L$64,'Operating Stmt of Activities'!$R$64,'Operating Stmt of Activities'!$H$65,'Operating Stmt of Activities'!$J$65,'Operating Stmt of Activities'!$L$65,'Operating Stmt of Activities'!$N$65,'Operating Stmt of Activities'!$P$65,'Operating Stmt of Activities'!$R$65,'Operating Stmt of Activities'!$T$65,'Operating Stmt of Activities'!$H$66,'Operating Stmt of Activities'!$J$66,'Operating Stmt of Activities'!$L$66,'Operating Stmt of Activities'!$N$66,'Operating Stmt of Activities'!$P$66,'Operating Stmt of Activities'!$R$66,'Operating Stmt of Activities'!$T$66</definedName>
    <definedName name="QB_ROW_1" localSheetId="1" hidden="1">'Balance Sheet'!$A$2</definedName>
    <definedName name="QB_ROW_10031" localSheetId="1" hidden="1">'Balance Sheet'!$D$62</definedName>
    <definedName name="QB_ROW_1011" localSheetId="1" hidden="1">'Balance Sheet'!$B$3</definedName>
    <definedName name="QB_ROW_102250" localSheetId="3" hidden="1">'Operating Stmt of Activities'!$F$120</definedName>
    <definedName name="QB_ROW_10331" localSheetId="1" hidden="1">'Balance Sheet'!$D$64</definedName>
    <definedName name="QB_ROW_110250" localSheetId="3" hidden="1">'Operating Stmt of Activities'!$F$125</definedName>
    <definedName name="QB_ROW_11031" localSheetId="1" hidden="1">'Balance Sheet'!$D$65</definedName>
    <definedName name="QB_ROW_11331" localSheetId="1" hidden="1">'Balance Sheet'!$D$69</definedName>
    <definedName name="QB_ROW_120250" localSheetId="3" hidden="1">'Operating Stmt of Activities'!$F$103</definedName>
    <definedName name="QB_ROW_12031" localSheetId="1" hidden="1">'Balance Sheet'!$D$70</definedName>
    <definedName name="QB_ROW_121040" localSheetId="3" hidden="1">'Operating Stmt of Activities'!$E$60</definedName>
    <definedName name="QB_ROW_121340" localSheetId="3" hidden="1">'Operating Stmt of Activities'!$E$65</definedName>
    <definedName name="QB_ROW_121340" localSheetId="2" hidden="1">'Operating Summary'!$E$14</definedName>
    <definedName name="QB_ROW_1220" localSheetId="1" hidden="1">'Balance Sheet'!$C$88</definedName>
    <definedName name="QB_ROW_123260" localSheetId="3" hidden="1">'Operating Stmt of Activities'!$G$51</definedName>
    <definedName name="QB_ROW_12331" localSheetId="1" hidden="1">'Balance Sheet'!$D$80</definedName>
    <definedName name="QB_ROW_128250" localSheetId="3" hidden="1">'Operating Stmt of Activities'!$F$109</definedName>
    <definedName name="QB_ROW_129240" localSheetId="3" hidden="1">'Operating Stmt of Activities'!$E$59</definedName>
    <definedName name="QB_ROW_129240" localSheetId="2" hidden="1">'Operating Summary'!$E$13</definedName>
    <definedName name="QB_ROW_13021" localSheetId="1" hidden="1">'Balance Sheet'!$C$82</definedName>
    <definedName name="QB_ROW_13030" localSheetId="1" hidden="1">'Balance Sheet'!$D$14</definedName>
    <definedName name="QB_ROW_1311" localSheetId="1" hidden="1">'Balance Sheet'!$B$48</definedName>
    <definedName name="QB_ROW_13321" localSheetId="1" hidden="1">'Balance Sheet'!$C$84</definedName>
    <definedName name="QB_ROW_13330" localSheetId="1" hidden="1">'Balance Sheet'!$D$24</definedName>
    <definedName name="QB_ROW_135240" localSheetId="1" hidden="1">'Balance Sheet'!$E$63</definedName>
    <definedName name="QB_ROW_138360" localSheetId="3" hidden="1">'Operating Stmt of Activities'!$G$34</definedName>
    <definedName name="QB_ROW_139250" localSheetId="3" hidden="1">'Operating Stmt of Activities'!$F$79</definedName>
    <definedName name="QB_ROW_14011" localSheetId="1" hidden="1">'Balance Sheet'!$B$86</definedName>
    <definedName name="QB_ROW_141230" localSheetId="1" hidden="1">'Balance Sheet'!$D$46</definedName>
    <definedName name="QB_ROW_142250" localSheetId="3" hidden="1">'Operating Stmt of Activities'!$F$62</definedName>
    <definedName name="QB_ROW_14311" localSheetId="1" hidden="1">'Balance Sheet'!$B$94</definedName>
    <definedName name="QB_ROW_143250" localSheetId="3" hidden="1">'Operating Stmt of Activities'!$F$99</definedName>
    <definedName name="QB_ROW_145230" localSheetId="1" hidden="1">'Balance Sheet'!$D$29</definedName>
    <definedName name="QB_ROW_148250" localSheetId="3" hidden="1">'Operating Stmt of Activities'!$F$21</definedName>
    <definedName name="QB_ROW_152250" localSheetId="3" hidden="1">'Operating Stmt of Activities'!$F$105</definedName>
    <definedName name="QB_ROW_156250" localSheetId="3" hidden="1">'Operating Stmt of Activities'!$F$22</definedName>
    <definedName name="QB_ROW_157040" localSheetId="3" hidden="1">'Operating Stmt of Activities'!$E$20</definedName>
    <definedName name="QB_ROW_157340" localSheetId="3" hidden="1">'Operating Stmt of Activities'!$E$24</definedName>
    <definedName name="QB_ROW_157340" localSheetId="2" hidden="1">'Operating Summary'!$E$9</definedName>
    <definedName name="QB_ROW_158240" localSheetId="3" hidden="1">'Operating Stmt of Activities'!$E$71</definedName>
    <definedName name="QB_ROW_158240" localSheetId="2" hidden="1">'Operating Summary'!$E$20</definedName>
    <definedName name="QB_ROW_161030" localSheetId="1" hidden="1">'Balance Sheet'!$D$38</definedName>
    <definedName name="QB_ROW_161240" localSheetId="1" hidden="1">'Balance Sheet'!$E$40</definedName>
    <definedName name="QB_ROW_161330" localSheetId="1" hidden="1">'Balance Sheet'!$D$41</definedName>
    <definedName name="QB_ROW_165250" localSheetId="3" hidden="1">'Operating Stmt of Activities'!$F$114</definedName>
    <definedName name="QB_ROW_169250" localSheetId="3" hidden="1">'Operating Stmt of Activities'!$F$23</definedName>
    <definedName name="QB_ROW_171250" localSheetId="3" hidden="1">'Operating Stmt of Activities'!$F$29</definedName>
    <definedName name="QB_ROW_17221" localSheetId="1" hidden="1">'Balance Sheet'!$C$93</definedName>
    <definedName name="QB_ROW_179250" localSheetId="3" hidden="1">'Operating Stmt of Activities'!$F$7</definedName>
    <definedName name="QB_ROW_181250" localSheetId="3" hidden="1">'Operating Stmt of Activities'!$F$6</definedName>
    <definedName name="QB_ROW_18250" localSheetId="1" hidden="1">'Balance Sheet'!$F$17</definedName>
    <definedName name="QB_ROW_18301" localSheetId="3" hidden="1">'Operating Stmt of Activities'!$A$149</definedName>
    <definedName name="QB_ROW_18301" localSheetId="2" hidden="1">'Operating Summary'!$A$43</definedName>
    <definedName name="QB_ROW_185040" localSheetId="1" hidden="1">'Balance Sheet'!$E$15</definedName>
    <definedName name="QB_ROW_185340" localSheetId="1" hidden="1">'Balance Sheet'!$E$23</definedName>
    <definedName name="QB_ROW_186250" localSheetId="3" hidden="1">'Operating Stmt of Activities'!$F$14</definedName>
    <definedName name="QB_ROW_187040" localSheetId="1" hidden="1">'Balance Sheet'!$E$71</definedName>
    <definedName name="QB_ROW_187340" localSheetId="1" hidden="1">'Balance Sheet'!$E$73</definedName>
    <definedName name="QB_ROW_19011" localSheetId="3" hidden="1">'Operating Stmt of Activities'!$B$3</definedName>
    <definedName name="QB_ROW_19011" localSheetId="2" hidden="1">'Operating Summary'!$B$3</definedName>
    <definedName name="QB_ROW_190250" localSheetId="3" hidden="1">'Operating Stmt of Activities'!$F$116</definedName>
    <definedName name="QB_ROW_192240" localSheetId="1" hidden="1">'Balance Sheet'!$E$74</definedName>
    <definedName name="QB_ROW_19250" localSheetId="3" hidden="1">'Operating Stmt of Activities'!$F$98</definedName>
    <definedName name="QB_ROW_19311" localSheetId="3" hidden="1">'Operating Stmt of Activities'!$B$139</definedName>
    <definedName name="QB_ROW_19311" localSheetId="2" hidden="1">'Operating Summary'!$B$35</definedName>
    <definedName name="QB_ROW_193250" localSheetId="3" hidden="1">'Operating Stmt of Activities'!$F$15</definedName>
    <definedName name="QB_ROW_194230" localSheetId="1" hidden="1">'Balance Sheet'!$D$27</definedName>
    <definedName name="QB_ROW_195250" localSheetId="3" hidden="1">'Operating Stmt of Activities'!$F$130</definedName>
    <definedName name="QB_ROW_197250" localSheetId="3" hidden="1">'Operating Stmt of Activities'!$F$95</definedName>
    <definedName name="QB_ROW_200220" localSheetId="1" hidden="1">'Balance Sheet'!$C$51</definedName>
    <definedName name="QB_ROW_20031" localSheetId="3" hidden="1">'Operating Stmt of Activities'!$D$4</definedName>
    <definedName name="QB_ROW_20031" localSheetId="2" hidden="1">'Operating Summary'!$D$4</definedName>
    <definedName name="QB_ROW_2021" localSheetId="1" hidden="1">'Balance Sheet'!$C$4</definedName>
    <definedName name="QB_ROW_202240" localSheetId="1" hidden="1">'Balance Sheet'!$E$36</definedName>
    <definedName name="QB_ROW_20250" localSheetId="3" hidden="1">'Operating Stmt of Activities'!$F$134</definedName>
    <definedName name="QB_ROW_20331" localSheetId="3" hidden="1">'Operating Stmt of Activities'!$D$66</definedName>
    <definedName name="QB_ROW_20331" localSheetId="2" hidden="1">'Operating Summary'!$D$15</definedName>
    <definedName name="QB_ROW_208220" localSheetId="1" hidden="1">'Balance Sheet'!$C$50</definedName>
    <definedName name="QB_ROW_209250" localSheetId="3" hidden="1">'Operating Stmt of Activities'!$F$108</definedName>
    <definedName name="QB_ROW_210250" localSheetId="3" hidden="1">'Operating Stmt of Activities'!$F$26</definedName>
    <definedName name="QB_ROW_21031" localSheetId="3" hidden="1">'Operating Stmt of Activities'!$D$76</definedName>
    <definedName name="QB_ROW_21031" localSheetId="2" hidden="1">'Operating Summary'!$D$25</definedName>
    <definedName name="QB_ROW_211350" localSheetId="3" hidden="1">'Operating Stmt of Activities'!$F$30</definedName>
    <definedName name="QB_ROW_212250" localSheetId="3" hidden="1">'Operating Stmt of Activities'!$F$61</definedName>
    <definedName name="QB_ROW_213030" localSheetId="1" hidden="1">'Balance Sheet'!$D$8</definedName>
    <definedName name="QB_ROW_21331" localSheetId="3" hidden="1">'Operating Stmt of Activities'!$D$138</definedName>
    <definedName name="QB_ROW_21331" localSheetId="2" hidden="1">'Operating Summary'!$D$34</definedName>
    <definedName name="QB_ROW_213330" localSheetId="1" hidden="1">'Balance Sheet'!$D$13</definedName>
    <definedName name="QB_ROW_217040" localSheetId="3" hidden="1">'Operating Stmt of Activities'!$E$46</definedName>
    <definedName name="QB_ROW_217340" localSheetId="3" hidden="1">'Operating Stmt of Activities'!$E$58</definedName>
    <definedName name="QB_ROW_217340" localSheetId="2" hidden="1">'Operating Summary'!$E$12</definedName>
    <definedName name="QB_ROW_218250" localSheetId="3" hidden="1">'Operating Stmt of Activities'!$F$64</definedName>
    <definedName name="QB_ROW_22011" localSheetId="3" hidden="1">'Operating Stmt of Activities'!$B$140</definedName>
    <definedName name="QB_ROW_22011" localSheetId="2" hidden="1">'Operating Summary'!$B$36</definedName>
    <definedName name="QB_ROW_220220" localSheetId="1" hidden="1">'Balance Sheet'!$C$53</definedName>
    <definedName name="QB_ROW_222220" localSheetId="1" hidden="1">'Balance Sheet'!$C$54</definedName>
    <definedName name="QB_ROW_22250" localSheetId="3" hidden="1">'Operating Stmt of Activities'!$F$129</definedName>
    <definedName name="QB_ROW_22311" localSheetId="3" hidden="1">'Operating Stmt of Activities'!$B$148</definedName>
    <definedName name="QB_ROW_22311" localSheetId="2" hidden="1">'Operating Summary'!$B$42</definedName>
    <definedName name="QB_ROW_223220" localSheetId="1" hidden="1">'Balance Sheet'!$C$56</definedName>
    <definedName name="QB_ROW_224250" localSheetId="1" hidden="1">'Balance Sheet'!$F$11</definedName>
    <definedName name="QB_ROW_23021" localSheetId="3" hidden="1">'Operating Stmt of Activities'!$C$141</definedName>
    <definedName name="QB_ROW_23021" localSheetId="2" hidden="1">'Operating Summary'!$C$37</definedName>
    <definedName name="QB_ROW_230250" localSheetId="3" hidden="1">'Operating Stmt of Activities'!$F$100</definedName>
    <definedName name="QB_ROW_231030" localSheetId="1" hidden="1">'Balance Sheet'!$D$42</definedName>
    <definedName name="QB_ROW_231330" localSheetId="1" hidden="1">'Balance Sheet'!$D$45</definedName>
    <definedName name="QB_ROW_2321" localSheetId="1" hidden="1">'Balance Sheet'!$C$25</definedName>
    <definedName name="QB_ROW_23250" localSheetId="3" hidden="1">'Operating Stmt of Activities'!$F$115</definedName>
    <definedName name="QB_ROW_23321" localSheetId="3" hidden="1">'Operating Stmt of Activities'!$C$147</definedName>
    <definedName name="QB_ROW_23321" localSheetId="2" hidden="1">'Operating Summary'!$C$41</definedName>
    <definedName name="QB_ROW_234240" localSheetId="1" hidden="1">'Balance Sheet'!$E$39</definedName>
    <definedName name="QB_ROW_238220" localSheetId="1" hidden="1">'Balance Sheet'!$C$89</definedName>
    <definedName name="QB_ROW_239220" localSheetId="1" hidden="1">'Balance Sheet'!$C$91</definedName>
    <definedName name="QB_ROW_240220" localSheetId="1" hidden="1">'Balance Sheet'!$C$92</definedName>
    <definedName name="QB_ROW_24250" localSheetId="3" hidden="1">'Operating Stmt of Activities'!$F$117</definedName>
    <definedName name="QB_ROW_244250" localSheetId="1" hidden="1">'Balance Sheet'!$F$16</definedName>
    <definedName name="QB_ROW_251240" localSheetId="3" hidden="1">'Operating Stmt of Activities'!$E$73</definedName>
    <definedName name="QB_ROW_251240" localSheetId="2" hidden="1">'Operating Summary'!$E$22</definedName>
    <definedName name="QB_ROW_25250" localSheetId="3" hidden="1">'Operating Stmt of Activities'!$F$127</definedName>
    <definedName name="QB_ROW_253240" localSheetId="1" hidden="1">'Balance Sheet'!$E$77</definedName>
    <definedName name="QB_ROW_254230" localSheetId="3" hidden="1">'Operating Stmt of Activities'!$D$146</definedName>
    <definedName name="QB_ROW_254230" localSheetId="2" hidden="1">'Operating Summary'!$D$40</definedName>
    <definedName name="QB_ROW_260240" localSheetId="3" hidden="1">'Operating Stmt of Activities'!$E$72</definedName>
    <definedName name="QB_ROW_260240" localSheetId="2" hidden="1">'Operating Summary'!$E$21</definedName>
    <definedName name="QB_ROW_262240" localSheetId="1" hidden="1">'Balance Sheet'!$E$43</definedName>
    <definedName name="QB_ROW_26250" localSheetId="3" hidden="1">'Operating Stmt of Activities'!$F$104</definedName>
    <definedName name="QB_ROW_263240" localSheetId="1" hidden="1">'Balance Sheet'!$E$76</definedName>
    <definedName name="QB_ROW_268040" localSheetId="3" hidden="1">'Operating Stmt of Activities'!$E$5</definedName>
    <definedName name="QB_ROW_268340" localSheetId="3" hidden="1">'Operating Stmt of Activities'!$E$12</definedName>
    <definedName name="QB_ROW_268340" localSheetId="2" hidden="1">'Operating Summary'!$E$5</definedName>
    <definedName name="QB_ROW_269040" localSheetId="3" hidden="1">'Operating Stmt of Activities'!$E$13</definedName>
    <definedName name="QB_ROW_269340" localSheetId="3" hidden="1">'Operating Stmt of Activities'!$E$19</definedName>
    <definedName name="QB_ROW_269340" localSheetId="2" hidden="1">'Operating Summary'!$E$8</definedName>
    <definedName name="QB_ROW_270040" localSheetId="3" hidden="1">'Operating Stmt of Activities'!$E$25</definedName>
    <definedName name="QB_ROW_270340" localSheetId="3" hidden="1">'Operating Stmt of Activities'!$E$31</definedName>
    <definedName name="QB_ROW_270340" localSheetId="2" hidden="1">'Operating Summary'!$E$10</definedName>
    <definedName name="QB_ROW_274220" localSheetId="1" hidden="1">'Balance Sheet'!$C$55</definedName>
    <definedName name="QB_ROW_280030" localSheetId="1" hidden="1">'Balance Sheet'!$D$33</definedName>
    <definedName name="QB_ROW_280330" localSheetId="1" hidden="1">'Balance Sheet'!$D$37</definedName>
    <definedName name="QB_ROW_281240" localSheetId="1" hidden="1">'Balance Sheet'!$E$35</definedName>
    <definedName name="QB_ROW_289050" localSheetId="3" hidden="1">'Operating Stmt of Activities'!$F$54</definedName>
    <definedName name="QB_ROW_289350" localSheetId="3" hidden="1">'Operating Stmt of Activities'!$F$57</definedName>
    <definedName name="QB_ROW_293230" localSheetId="1" hidden="1">'Balance Sheet'!$D$6</definedName>
    <definedName name="QB_ROW_298230" localSheetId="1" hidden="1">'Balance Sheet'!$D$30</definedName>
    <definedName name="QB_ROW_300040" localSheetId="3" hidden="1">'Operating Stmt of Activities'!$E$94</definedName>
    <definedName name="QB_ROW_300340" localSheetId="3" hidden="1">'Operating Stmt of Activities'!$E$101</definedName>
    <definedName name="QB_ROW_300340" localSheetId="2" hidden="1">'Operating Summary'!$E$28</definedName>
    <definedName name="QB_ROW_301" localSheetId="1" hidden="1">'Balance Sheet'!$A$58</definedName>
    <definedName name="QB_ROW_301040" localSheetId="3" hidden="1">'Operating Stmt of Activities'!$E$102</definedName>
    <definedName name="QB_ROW_301340" localSheetId="3" hidden="1">'Operating Stmt of Activities'!$E$112</definedName>
    <definedName name="QB_ROW_301340" localSheetId="2" hidden="1">'Operating Summary'!$E$29</definedName>
    <definedName name="QB_ROW_302040" localSheetId="3" hidden="1">'Operating Stmt of Activities'!$E$113</definedName>
    <definedName name="QB_ROW_3021" localSheetId="1" hidden="1">'Balance Sheet'!$C$26</definedName>
    <definedName name="QB_ROW_302340" localSheetId="3" hidden="1">'Operating Stmt of Activities'!$E$118</definedName>
    <definedName name="QB_ROW_302340" localSheetId="2" hidden="1">'Operating Summary'!$E$30</definedName>
    <definedName name="QB_ROW_30250" localSheetId="3" hidden="1">'Operating Stmt of Activities'!$F$97</definedName>
    <definedName name="QB_ROW_303040" localSheetId="3" hidden="1">'Operating Stmt of Activities'!$E$124</definedName>
    <definedName name="QB_ROW_303340" localSheetId="3" hidden="1">'Operating Stmt of Activities'!$E$132</definedName>
    <definedName name="QB_ROW_303340" localSheetId="2" hidden="1">'Operating Summary'!$E$32</definedName>
    <definedName name="QB_ROW_304040" localSheetId="3" hidden="1">'Operating Stmt of Activities'!$E$133</definedName>
    <definedName name="QB_ROW_304340" localSheetId="3" hidden="1">'Operating Stmt of Activities'!$E$137</definedName>
    <definedName name="QB_ROW_304340" localSheetId="2" hidden="1">'Operating Summary'!$E$33</definedName>
    <definedName name="QB_ROW_305220" localSheetId="1" hidden="1">'Balance Sheet'!$C$90</definedName>
    <definedName name="QB_ROW_308250" localSheetId="1" hidden="1">'Balance Sheet'!$F$19</definedName>
    <definedName name="QB_ROW_309250" localSheetId="1" hidden="1">'Balance Sheet'!$F$20</definedName>
    <definedName name="QB_ROW_310250" localSheetId="1" hidden="1">'Balance Sheet'!$F$21</definedName>
    <definedName name="QB_ROW_311250" localSheetId="1" hidden="1">'Balance Sheet'!$F$22</definedName>
    <definedName name="QB_ROW_31240" localSheetId="1" hidden="1">'Balance Sheet'!$E$78</definedName>
    <definedName name="QB_ROW_315250" localSheetId="1" hidden="1">'Balance Sheet'!$F$18</definedName>
    <definedName name="QB_ROW_325240" localSheetId="1" hidden="1">'Balance Sheet'!$E$79</definedName>
    <definedName name="QB_ROW_3321" localSheetId="1" hidden="1">'Balance Sheet'!$C$31</definedName>
    <definedName name="QB_ROW_332250" localSheetId="3" hidden="1">'Operating Stmt of Activities'!$F$110</definedName>
    <definedName name="QB_ROW_339250" localSheetId="3" hidden="1">'Operating Stmt of Activities'!$F$17</definedName>
    <definedName name="QB_ROW_344250" localSheetId="3" hidden="1">'Operating Stmt of Activities'!$F$63</definedName>
    <definedName name="QB_ROW_345260" localSheetId="3" hidden="1">'Operating Stmt of Activities'!$G$49</definedName>
    <definedName name="QB_ROW_350260" localSheetId="3" hidden="1">'Operating Stmt of Activities'!$G$50</definedName>
    <definedName name="QB_ROW_351250" localSheetId="3" hidden="1">'Operating Stmt of Activities'!$F$111</definedName>
    <definedName name="QB_ROW_35250" localSheetId="1" hidden="1">'Balance Sheet'!$F$10</definedName>
    <definedName name="QB_ROW_356240" localSheetId="1" hidden="1">'Balance Sheet'!$E$44</definedName>
    <definedName name="QB_ROW_357250" localSheetId="3" hidden="1">'Operating Stmt of Activities'!$F$88</definedName>
    <definedName name="QB_ROW_359250" localSheetId="3" hidden="1">'Operating Stmt of Activities'!$F$87</definedName>
    <definedName name="QB_ROW_360250" localSheetId="3" hidden="1">'Operating Stmt of Activities'!$F$86</definedName>
    <definedName name="QB_ROW_361250" localSheetId="3" hidden="1">'Operating Stmt of Activities'!$F$90</definedName>
    <definedName name="QB_ROW_362250" localSheetId="3" hidden="1">'Operating Stmt of Activities'!$F$92</definedName>
    <definedName name="QB_ROW_363250" localSheetId="3" hidden="1">'Operating Stmt of Activities'!$F$89</definedName>
    <definedName name="QB_ROW_364250" localSheetId="3" hidden="1">'Operating Stmt of Activities'!$F$136</definedName>
    <definedName name="QB_ROW_369250" localSheetId="3" hidden="1">'Operating Stmt of Activities'!$F$9</definedName>
    <definedName name="QB_ROW_370260" localSheetId="3" hidden="1">'Operating Stmt of Activities'!$G$56</definedName>
    <definedName name="QB_ROW_371250" localSheetId="3" hidden="1">'Operating Stmt of Activities'!$F$18</definedName>
    <definedName name="QB_ROW_37250" localSheetId="3" hidden="1">'Operating Stmt of Activities'!$F$106</definedName>
    <definedName name="QB_ROW_374250" localSheetId="3" hidden="1">'Operating Stmt of Activities'!$F$121</definedName>
    <definedName name="QB_ROW_376240" localSheetId="3" hidden="1">'Operating Stmt of Activities'!$E$68</definedName>
    <definedName name="QB_ROW_376240" localSheetId="2" hidden="1">'Operating Summary'!$E$17</definedName>
    <definedName name="QB_ROW_377240" localSheetId="1" hidden="1">'Balance Sheet'!$E$75</definedName>
    <definedName name="QB_ROW_38250" localSheetId="3" hidden="1">'Operating Stmt of Activities'!$F$107</definedName>
    <definedName name="QB_ROW_390250" localSheetId="1" hidden="1">'Balance Sheet'!$F$72</definedName>
    <definedName name="QB_ROW_391250" localSheetId="3" hidden="1">'Operating Stmt of Activities'!$F$131</definedName>
    <definedName name="QB_ROW_393260" localSheetId="3" hidden="1">'Operating Stmt of Activities'!$G$52</definedName>
    <definedName name="QB_ROW_394230" localSheetId="1" hidden="1">'Balance Sheet'!$D$7</definedName>
    <definedName name="QB_ROW_395240" localSheetId="1" hidden="1">'Balance Sheet'!$E$66</definedName>
    <definedName name="QB_ROW_396240" localSheetId="1" hidden="1">'Balance Sheet'!$E$67</definedName>
    <definedName name="QB_ROW_399250" localSheetId="3" hidden="1">'Operating Stmt of Activities'!$F$78</definedName>
    <definedName name="QB_ROW_400260" localSheetId="3" hidden="1">'Operating Stmt of Activities'!$G$55</definedName>
    <definedName name="QB_ROW_401240" localSheetId="3" hidden="1">'Operating Stmt of Activities'!$E$143</definedName>
    <definedName name="QB_ROW_4021" localSheetId="1" hidden="1">'Balance Sheet'!$C$32</definedName>
    <definedName name="QB_ROW_403040" localSheetId="3" hidden="1">'Operating Stmt of Activities'!$E$32</definedName>
    <definedName name="QB_ROW_403340" localSheetId="3" hidden="1">'Operating Stmt of Activities'!$E$45</definedName>
    <definedName name="QB_ROW_403340" localSheetId="2" hidden="1">'Operating Summary'!$E$11</definedName>
    <definedName name="QB_ROW_404260" localSheetId="3" hidden="1">'Operating Stmt of Activities'!$G$37</definedName>
    <definedName name="QB_ROW_405260" localSheetId="3" hidden="1">'Operating Stmt of Activities'!$G$40</definedName>
    <definedName name="QB_ROW_406250" localSheetId="3" hidden="1">'Operating Stmt of Activities'!$F$135</definedName>
    <definedName name="QB_ROW_407230" localSheetId="1" hidden="1">'Balance Sheet'!$D$28</definedName>
    <definedName name="QB_ROW_410030" localSheetId="3" hidden="1">'Operating Stmt of Activities'!$D$142</definedName>
    <definedName name="QB_ROW_410330" localSheetId="3" hidden="1">'Operating Stmt of Activities'!$D$144</definedName>
    <definedName name="QB_ROW_410330" localSheetId="2" hidden="1">'Operating Summary'!$D$38</definedName>
    <definedName name="QB_ROW_412260" localSheetId="3" hidden="1">'Operating Stmt of Activities'!$G$43</definedName>
    <definedName name="QB_ROW_413250" localSheetId="3" hidden="1">'Operating Stmt of Activities'!$F$96</definedName>
    <definedName name="QB_ROW_416260" localSheetId="3" hidden="1">'Operating Stmt of Activities'!$G$48</definedName>
    <definedName name="QB_ROW_420250" localSheetId="3" hidden="1">'Operating Stmt of Activities'!$F$11</definedName>
    <definedName name="QB_ROW_421250" localSheetId="3" hidden="1">'Operating Stmt of Activities'!$F$28</definedName>
    <definedName name="QB_ROW_4220" localSheetId="1" hidden="1">'Balance Sheet'!$C$87</definedName>
    <definedName name="QB_ROW_422050" localSheetId="3" hidden="1">'Operating Stmt of Activities'!$F$33</definedName>
    <definedName name="QB_ROW_422350" localSheetId="3" hidden="1">'Operating Stmt of Activities'!$F$38</definedName>
    <definedName name="QB_ROW_423260" localSheetId="3" hidden="1">'Operating Stmt of Activities'!$G$35</definedName>
    <definedName name="QB_ROW_424050" localSheetId="3" hidden="1">'Operating Stmt of Activities'!$F$39</definedName>
    <definedName name="QB_ROW_424350" localSheetId="3" hidden="1">'Operating Stmt of Activities'!$F$44</definedName>
    <definedName name="QB_ROW_425260" localSheetId="3" hidden="1">'Operating Stmt of Activities'!$G$41</definedName>
    <definedName name="QB_ROW_426220" localSheetId="1" hidden="1">'Balance Sheet'!$C$52</definedName>
    <definedName name="QB_ROW_427230" localSheetId="1" hidden="1">'Balance Sheet'!$D$83</definedName>
    <definedName name="QB_ROW_428250" localSheetId="3" hidden="1">'Operating Stmt of Activities'!$F$122</definedName>
    <definedName name="QB_ROW_430250" localSheetId="3" hidden="1">'Operating Stmt of Activities'!$F$16</definedName>
    <definedName name="QB_ROW_4321" localSheetId="1" hidden="1">'Balance Sheet'!$C$47</definedName>
    <definedName name="QB_ROW_433240" localSheetId="1" hidden="1">'Balance Sheet'!$E$68</definedName>
    <definedName name="QB_ROW_435250" localSheetId="3" hidden="1">'Operating Stmt of Activities'!$F$91</definedName>
    <definedName name="QB_ROW_436260" localSheetId="3" hidden="1">'Operating Stmt of Activities'!$G$36</definedName>
    <definedName name="QB_ROW_437260" localSheetId="3" hidden="1">'Operating Stmt of Activities'!$G$42</definedName>
    <definedName name="QB_ROW_46250" localSheetId="3" hidden="1">'Operating Stmt of Activities'!$F$8</definedName>
    <definedName name="QB_ROW_49040" localSheetId="3" hidden="1">'Operating Stmt of Activities'!$E$77</definedName>
    <definedName name="QB_ROW_49340" localSheetId="3" hidden="1">'Operating Stmt of Activities'!$E$84</definedName>
    <definedName name="QB_ROW_49340" localSheetId="2" hidden="1">'Operating Summary'!$E$26</definedName>
    <definedName name="QB_ROW_5011" localSheetId="1" hidden="1">'Balance Sheet'!$B$49</definedName>
    <definedName name="QB_ROW_50250" localSheetId="3" hidden="1">'Operating Stmt of Activities'!$F$80</definedName>
    <definedName name="QB_ROW_52250" localSheetId="3" hidden="1">'Operating Stmt of Activities'!$F$81</definedName>
    <definedName name="QB_ROW_5311" localSheetId="1" hidden="1">'Balance Sheet'!$B$57</definedName>
    <definedName name="QB_ROW_53250" localSheetId="3" hidden="1">'Operating Stmt of Activities'!$F$82</definedName>
    <definedName name="QB_ROW_59250" localSheetId="3" hidden="1">'Operating Stmt of Activities'!$F$83</definedName>
    <definedName name="QB_ROW_60240" localSheetId="3" hidden="1">'Operating Stmt of Activities'!$E$70</definedName>
    <definedName name="QB_ROW_60240" localSheetId="2" hidden="1">'Operating Summary'!$E$19</definedName>
    <definedName name="QB_ROW_61250" localSheetId="3" hidden="1">'Operating Stmt of Activities'!$F$128</definedName>
    <definedName name="QB_ROW_69040" localSheetId="1" hidden="1">'Balance Sheet'!$E$9</definedName>
    <definedName name="QB_ROW_69340" localSheetId="1" hidden="1">'Balance Sheet'!$E$12</definedName>
    <definedName name="QB_ROW_7001" localSheetId="1" hidden="1">'Balance Sheet'!$A$59</definedName>
    <definedName name="QB_ROW_70230" localSheetId="1" hidden="1">'Balance Sheet'!$D$5</definedName>
    <definedName name="QB_ROW_7040" localSheetId="3" hidden="1">'Operating Stmt of Activities'!$E$85</definedName>
    <definedName name="QB_ROW_71240" localSheetId="1" hidden="1">'Balance Sheet'!$E$34</definedName>
    <definedName name="QB_ROW_7301" localSheetId="1" hidden="1">'Balance Sheet'!$A$95</definedName>
    <definedName name="QB_ROW_7340" localSheetId="3" hidden="1">'Operating Stmt of Activities'!$E$93</definedName>
    <definedName name="QB_ROW_7340" localSheetId="2" hidden="1">'Operating Summary'!$E$27</definedName>
    <definedName name="QB_ROW_8011" localSheetId="1" hidden="1">'Balance Sheet'!$B$60</definedName>
    <definedName name="QB_ROW_80340" localSheetId="3" hidden="1">'Operating Stmt of Activities'!$E$69</definedName>
    <definedName name="QB_ROW_80340" localSheetId="2" hidden="1">'Operating Summary'!$E$18</definedName>
    <definedName name="QB_ROW_82040" localSheetId="3" hidden="1">'Operating Stmt of Activities'!$E$119</definedName>
    <definedName name="QB_ROW_82340" localSheetId="3" hidden="1">'Operating Stmt of Activities'!$E$123</definedName>
    <definedName name="QB_ROW_82340" localSheetId="2" hidden="1">'Operating Summary'!$E$31</definedName>
    <definedName name="QB_ROW_8311" localSheetId="1" hidden="1">'Balance Sheet'!$B$85</definedName>
    <definedName name="QB_ROW_86250" localSheetId="3" hidden="1">'Operating Stmt of Activities'!$F$126</definedName>
    <definedName name="QB_ROW_86321" localSheetId="3" hidden="1">'Operating Stmt of Activities'!$C$75</definedName>
    <definedName name="QB_ROW_86321" localSheetId="2" hidden="1">'Operating Summary'!$C$24</definedName>
    <definedName name="QB_ROW_87031" localSheetId="3" hidden="1">'Operating Stmt of Activities'!$D$67</definedName>
    <definedName name="QB_ROW_87031" localSheetId="2" hidden="1">'Operating Summary'!$D$16</definedName>
    <definedName name="QB_ROW_87331" localSheetId="3" hidden="1">'Operating Stmt of Activities'!$D$74</definedName>
    <definedName name="QB_ROW_87331" localSheetId="2" hidden="1">'Operating Summary'!$D$23</definedName>
    <definedName name="QB_ROW_90050" localSheetId="3" hidden="1">'Operating Stmt of Activities'!$F$47</definedName>
    <definedName name="QB_ROW_9021" localSheetId="1" hidden="1">'Balance Sheet'!$C$61</definedName>
    <definedName name="QB_ROW_90350" localSheetId="3" hidden="1">'Operating Stmt of Activities'!$F$53</definedName>
    <definedName name="QB_ROW_9230" localSheetId="3" hidden="1">'Operating Stmt of Activities'!$D$145</definedName>
    <definedName name="QB_ROW_9230" localSheetId="2" hidden="1">'Operating Summary'!$D$39</definedName>
    <definedName name="QB_ROW_9321" localSheetId="1" hidden="1">'Balance Sheet'!$C$81</definedName>
    <definedName name="QB_ROW_98250" localSheetId="3" hidden="1">'Operating Stmt of Activities'!$F$27</definedName>
    <definedName name="QBCANSUPPORTUPDATE" localSheetId="1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20190531</definedName>
    <definedName name="QBENDDATE" localSheetId="3">20190531</definedName>
    <definedName name="QBENDDATE" localSheetId="2">20190531</definedName>
    <definedName name="QBHEADERSONSCREEN" localSheetId="1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3">5907</definedName>
    <definedName name="QBMETADATASIZE" localSheetId="2">5907</definedName>
    <definedName name="QBPRESERVECOLOR" localSheetId="1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3">273</definedName>
    <definedName name="QBREPORTTYPE" localSheetId="2">273</definedName>
    <definedName name="QBROWHEADERS" localSheetId="1">6</definedName>
    <definedName name="QBROWHEADERS" localSheetId="3">7</definedName>
    <definedName name="QBROWHEADERS" localSheetId="2">5</definedName>
    <definedName name="QBSTARTDATE" localSheetId="1">20190531</definedName>
    <definedName name="QBSTARTDATE" localSheetId="3">20190501</definedName>
    <definedName name="QBSTARTDATE" localSheetId="2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9" i="1"/>
  <c r="I8" i="1"/>
  <c r="I7" i="1"/>
  <c r="H16" i="1"/>
  <c r="H15" i="1"/>
  <c r="H14" i="1"/>
  <c r="H13" i="1"/>
  <c r="H12" i="1"/>
  <c r="H11" i="1"/>
  <c r="H9" i="1"/>
  <c r="H8" i="1"/>
  <c r="H7" i="1"/>
  <c r="B7" i="1" l="1"/>
  <c r="B6" i="1" l="1"/>
  <c r="G94" i="5"/>
  <c r="G84" i="5"/>
  <c r="G73" i="5"/>
  <c r="G80" i="5" s="1"/>
  <c r="G69" i="5"/>
  <c r="G64" i="5"/>
  <c r="G57" i="5"/>
  <c r="G45" i="5"/>
  <c r="G41" i="5"/>
  <c r="G37" i="5"/>
  <c r="G31" i="5"/>
  <c r="G23" i="5"/>
  <c r="G12" i="5"/>
  <c r="G81" i="5" l="1"/>
  <c r="G13" i="5"/>
  <c r="G24" i="5"/>
  <c r="G47" i="5"/>
  <c r="B12" i="1"/>
  <c r="G25" i="5" l="1"/>
  <c r="B8" i="1"/>
  <c r="B21" i="1"/>
  <c r="G85" i="5"/>
  <c r="L7" i="3"/>
  <c r="T7" i="3" s="1"/>
  <c r="R5" i="3"/>
  <c r="R15" i="3" s="1"/>
  <c r="N5" i="3"/>
  <c r="N15" i="3" s="1"/>
  <c r="F7" i="3"/>
  <c r="J7" i="3" s="1"/>
  <c r="H5" i="3"/>
  <c r="N46" i="3"/>
  <c r="L46" i="3"/>
  <c r="H46" i="3"/>
  <c r="F46" i="3"/>
  <c r="X6" i="3"/>
  <c r="T6" i="3"/>
  <c r="P6" i="3"/>
  <c r="L5" i="3"/>
  <c r="J6" i="3"/>
  <c r="J8" i="3"/>
  <c r="J9" i="3"/>
  <c r="J10" i="3"/>
  <c r="J11" i="3"/>
  <c r="J12" i="3"/>
  <c r="J13" i="3"/>
  <c r="J14" i="3"/>
  <c r="J17" i="3"/>
  <c r="J18" i="3"/>
  <c r="J19" i="3"/>
  <c r="J20" i="3"/>
  <c r="J21" i="3"/>
  <c r="F5" i="3"/>
  <c r="T40" i="3"/>
  <c r="T39" i="3"/>
  <c r="T38" i="3"/>
  <c r="T33" i="3"/>
  <c r="T32" i="3"/>
  <c r="T31" i="3"/>
  <c r="T30" i="3"/>
  <c r="T29" i="3"/>
  <c r="T28" i="3"/>
  <c r="T27" i="3"/>
  <c r="T26" i="3"/>
  <c r="T22" i="3"/>
  <c r="T21" i="3"/>
  <c r="T20" i="3"/>
  <c r="T19" i="3"/>
  <c r="T18" i="3"/>
  <c r="T17" i="3"/>
  <c r="T14" i="3"/>
  <c r="T13" i="3"/>
  <c r="T12" i="3"/>
  <c r="T11" i="3"/>
  <c r="T10" i="3"/>
  <c r="T9" i="3"/>
  <c r="T8" i="3"/>
  <c r="V41" i="3"/>
  <c r="X40" i="3"/>
  <c r="X39" i="3"/>
  <c r="X38" i="3"/>
  <c r="V34" i="3"/>
  <c r="X33" i="3"/>
  <c r="X32" i="3"/>
  <c r="X31" i="3"/>
  <c r="X30" i="3"/>
  <c r="X29" i="3"/>
  <c r="X28" i="3"/>
  <c r="X27" i="3"/>
  <c r="X26" i="3"/>
  <c r="V23" i="3"/>
  <c r="X22" i="3"/>
  <c r="X21" i="3"/>
  <c r="X20" i="3"/>
  <c r="X19" i="3"/>
  <c r="X18" i="3"/>
  <c r="X17" i="3"/>
  <c r="V15" i="3"/>
  <c r="X14" i="3"/>
  <c r="X13" i="3"/>
  <c r="X12" i="3"/>
  <c r="X11" i="3"/>
  <c r="X10" i="3"/>
  <c r="X9" i="3"/>
  <c r="X8" i="3"/>
  <c r="X5" i="3"/>
  <c r="T1" i="3"/>
  <c r="R41" i="3"/>
  <c r="T41" i="3" s="1"/>
  <c r="N41" i="3"/>
  <c r="N42" i="3" s="1"/>
  <c r="L41" i="3"/>
  <c r="L42" i="3" s="1"/>
  <c r="H41" i="3"/>
  <c r="H42" i="3" s="1"/>
  <c r="F41" i="3"/>
  <c r="F42" i="3" s="1"/>
  <c r="P40" i="3"/>
  <c r="J40" i="3"/>
  <c r="P39" i="3"/>
  <c r="J39" i="3"/>
  <c r="P38" i="3"/>
  <c r="J38" i="3"/>
  <c r="R34" i="3"/>
  <c r="N34" i="3"/>
  <c r="P34" i="3" s="1"/>
  <c r="L34" i="3"/>
  <c r="H34" i="3"/>
  <c r="F34" i="3"/>
  <c r="P33" i="3"/>
  <c r="J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R23" i="3"/>
  <c r="T23" i="3" s="1"/>
  <c r="N23" i="3"/>
  <c r="L23" i="3"/>
  <c r="H23" i="3"/>
  <c r="F23" i="3"/>
  <c r="P22" i="3"/>
  <c r="J22" i="3"/>
  <c r="P21" i="3"/>
  <c r="P20" i="3"/>
  <c r="P19" i="3"/>
  <c r="P18" i="3"/>
  <c r="P17" i="3"/>
  <c r="H15" i="3"/>
  <c r="H24" i="3" s="1"/>
  <c r="F15" i="3"/>
  <c r="P14" i="3"/>
  <c r="P13" i="3"/>
  <c r="P12" i="3"/>
  <c r="P11" i="3"/>
  <c r="P10" i="3"/>
  <c r="P9" i="3"/>
  <c r="P8" i="3"/>
  <c r="P5" i="3"/>
  <c r="H11" i="2"/>
  <c r="N11" i="2"/>
  <c r="J5" i="3" l="1"/>
  <c r="J34" i="3"/>
  <c r="P7" i="3"/>
  <c r="G95" i="5"/>
  <c r="G48" i="5"/>
  <c r="T34" i="3"/>
  <c r="F24" i="3"/>
  <c r="F35" i="3" s="1"/>
  <c r="F43" i="3" s="1"/>
  <c r="F47" i="3" s="1"/>
  <c r="R42" i="3"/>
  <c r="T42" i="3" s="1"/>
  <c r="R24" i="3"/>
  <c r="R35" i="3" s="1"/>
  <c r="X23" i="3"/>
  <c r="L15" i="3"/>
  <c r="T15" i="3" s="1"/>
  <c r="X7" i="3"/>
  <c r="J23" i="3"/>
  <c r="P41" i="3"/>
  <c r="X34" i="3"/>
  <c r="X41" i="3"/>
  <c r="T5" i="3"/>
  <c r="J15" i="3"/>
  <c r="V24" i="3"/>
  <c r="V35" i="3" s="1"/>
  <c r="P15" i="3"/>
  <c r="V42" i="3"/>
  <c r="X42" i="3" s="1"/>
  <c r="H35" i="3"/>
  <c r="J24" i="3"/>
  <c r="P42" i="3"/>
  <c r="J42" i="3"/>
  <c r="N24" i="3"/>
  <c r="J41" i="3"/>
  <c r="P23" i="3"/>
  <c r="P153" i="2"/>
  <c r="N153" i="2"/>
  <c r="J153" i="2"/>
  <c r="R43" i="3" l="1"/>
  <c r="G58" i="5"/>
  <c r="L24" i="3"/>
  <c r="L35" i="3" s="1"/>
  <c r="T35" i="3" s="1"/>
  <c r="X15" i="3"/>
  <c r="V43" i="3"/>
  <c r="H43" i="3"/>
  <c r="J35" i="3"/>
  <c r="N35" i="3"/>
  <c r="L43" i="3" l="1"/>
  <c r="T24" i="3"/>
  <c r="P24" i="3"/>
  <c r="X35" i="3"/>
  <c r="X24" i="3"/>
  <c r="X43" i="3"/>
  <c r="T43" i="3"/>
  <c r="L47" i="3"/>
  <c r="J43" i="3"/>
  <c r="H47" i="3"/>
  <c r="P35" i="3"/>
  <c r="N43" i="3"/>
  <c r="P43" i="3" l="1"/>
  <c r="N47" i="3"/>
  <c r="V10" i="2"/>
  <c r="R10" i="2"/>
  <c r="L10" i="2"/>
  <c r="H153" i="2"/>
  <c r="N9" i="2"/>
  <c r="H9" i="2"/>
  <c r="V146" i="2" l="1"/>
  <c r="V145" i="2"/>
  <c r="V143" i="2"/>
  <c r="V136" i="2"/>
  <c r="V135" i="2"/>
  <c r="V134" i="2"/>
  <c r="V133" i="2"/>
  <c r="V131" i="2"/>
  <c r="V130" i="2"/>
  <c r="V129" i="2"/>
  <c r="V128" i="2"/>
  <c r="V127" i="2"/>
  <c r="V126" i="2"/>
  <c r="V125" i="2"/>
  <c r="V122" i="2"/>
  <c r="V121" i="2"/>
  <c r="V120" i="2"/>
  <c r="V119" i="2"/>
  <c r="V117" i="2"/>
  <c r="V116" i="2"/>
  <c r="V115" i="2"/>
  <c r="V114" i="2"/>
  <c r="V111" i="2"/>
  <c r="V110" i="2"/>
  <c r="V109" i="2"/>
  <c r="V108" i="2"/>
  <c r="V107" i="2"/>
  <c r="V106" i="2"/>
  <c r="V105" i="2"/>
  <c r="V104" i="2"/>
  <c r="V103" i="2"/>
  <c r="V100" i="2"/>
  <c r="V99" i="2"/>
  <c r="V98" i="2"/>
  <c r="V97" i="2"/>
  <c r="V96" i="2"/>
  <c r="V95" i="2"/>
  <c r="V92" i="2"/>
  <c r="V91" i="2"/>
  <c r="V90" i="2"/>
  <c r="V89" i="2"/>
  <c r="V88" i="2"/>
  <c r="V87" i="2"/>
  <c r="V86" i="2"/>
  <c r="V83" i="2"/>
  <c r="V82" i="2"/>
  <c r="V81" i="2"/>
  <c r="V80" i="2"/>
  <c r="V79" i="2"/>
  <c r="V78" i="2"/>
  <c r="V73" i="2"/>
  <c r="V72" i="2"/>
  <c r="V71" i="2"/>
  <c r="V70" i="2"/>
  <c r="V69" i="2"/>
  <c r="V68" i="2"/>
  <c r="V64" i="2"/>
  <c r="V63" i="2"/>
  <c r="V62" i="2"/>
  <c r="V61" i="2"/>
  <c r="V59" i="2"/>
  <c r="V56" i="2"/>
  <c r="V55" i="2"/>
  <c r="V52" i="2"/>
  <c r="V51" i="2"/>
  <c r="V50" i="2"/>
  <c r="V49" i="2"/>
  <c r="V48" i="2"/>
  <c r="V43" i="2"/>
  <c r="V42" i="2"/>
  <c r="V41" i="2"/>
  <c r="V40" i="2"/>
  <c r="V37" i="2"/>
  <c r="V36" i="2"/>
  <c r="V35" i="2"/>
  <c r="V34" i="2"/>
  <c r="V30" i="2"/>
  <c r="V29" i="2"/>
  <c r="V28" i="2"/>
  <c r="V27" i="2"/>
  <c r="V26" i="2"/>
  <c r="V23" i="2"/>
  <c r="V22" i="2"/>
  <c r="V21" i="2"/>
  <c r="V18" i="2"/>
  <c r="V17" i="2"/>
  <c r="V16" i="2"/>
  <c r="V15" i="2"/>
  <c r="V14" i="2"/>
  <c r="V11" i="2"/>
  <c r="V9" i="2"/>
  <c r="V8" i="2"/>
  <c r="V7" i="2"/>
  <c r="V6" i="2"/>
  <c r="V1" i="2"/>
  <c r="R146" i="2" l="1"/>
  <c r="L146" i="2"/>
  <c r="R145" i="2"/>
  <c r="L145" i="2"/>
  <c r="T144" i="2"/>
  <c r="P144" i="2"/>
  <c r="P147" i="2" s="1"/>
  <c r="N144" i="2"/>
  <c r="N147" i="2" s="1"/>
  <c r="N148" i="2" s="1"/>
  <c r="J144" i="2"/>
  <c r="J147" i="2" s="1"/>
  <c r="J148" i="2" s="1"/>
  <c r="H144" i="2"/>
  <c r="H147" i="2" s="1"/>
  <c r="H148" i="2" s="1"/>
  <c r="R143" i="2"/>
  <c r="L143" i="2"/>
  <c r="T137" i="2"/>
  <c r="P137" i="2"/>
  <c r="N137" i="2"/>
  <c r="J137" i="2"/>
  <c r="H137" i="2"/>
  <c r="R136" i="2"/>
  <c r="L136" i="2"/>
  <c r="R135" i="2"/>
  <c r="L135" i="2"/>
  <c r="R134" i="2"/>
  <c r="L134" i="2"/>
  <c r="T132" i="2"/>
  <c r="P132" i="2"/>
  <c r="N132" i="2"/>
  <c r="J132" i="2"/>
  <c r="H132" i="2"/>
  <c r="R131" i="2"/>
  <c r="L131" i="2"/>
  <c r="R130" i="2"/>
  <c r="L130" i="2"/>
  <c r="R129" i="2"/>
  <c r="L129" i="2"/>
  <c r="R128" i="2"/>
  <c r="L128" i="2"/>
  <c r="R127" i="2"/>
  <c r="L127" i="2"/>
  <c r="R126" i="2"/>
  <c r="L126" i="2"/>
  <c r="R125" i="2"/>
  <c r="L125" i="2"/>
  <c r="T123" i="2"/>
  <c r="P123" i="2"/>
  <c r="N123" i="2"/>
  <c r="J123" i="2"/>
  <c r="H123" i="2"/>
  <c r="R122" i="2"/>
  <c r="L122" i="2"/>
  <c r="R121" i="2"/>
  <c r="L121" i="2"/>
  <c r="R120" i="2"/>
  <c r="L120" i="2"/>
  <c r="T118" i="2"/>
  <c r="P118" i="2"/>
  <c r="N118" i="2"/>
  <c r="J118" i="2"/>
  <c r="H118" i="2"/>
  <c r="R117" i="2"/>
  <c r="L117" i="2"/>
  <c r="R116" i="2"/>
  <c r="L116" i="2"/>
  <c r="R115" i="2"/>
  <c r="L115" i="2"/>
  <c r="R114" i="2"/>
  <c r="L114" i="2"/>
  <c r="T112" i="2"/>
  <c r="P112" i="2"/>
  <c r="N112" i="2"/>
  <c r="J112" i="2"/>
  <c r="H112" i="2"/>
  <c r="R111" i="2"/>
  <c r="L111" i="2"/>
  <c r="R110" i="2"/>
  <c r="L110" i="2"/>
  <c r="R109" i="2"/>
  <c r="L109" i="2"/>
  <c r="R108" i="2"/>
  <c r="L108" i="2"/>
  <c r="R107" i="2"/>
  <c r="L107" i="2"/>
  <c r="R106" i="2"/>
  <c r="L106" i="2"/>
  <c r="R105" i="2"/>
  <c r="L105" i="2"/>
  <c r="R104" i="2"/>
  <c r="L104" i="2"/>
  <c r="R103" i="2"/>
  <c r="L103" i="2"/>
  <c r="T101" i="2"/>
  <c r="P101" i="2"/>
  <c r="N101" i="2"/>
  <c r="J101" i="2"/>
  <c r="H101" i="2"/>
  <c r="R100" i="2"/>
  <c r="L100" i="2"/>
  <c r="R99" i="2"/>
  <c r="L99" i="2"/>
  <c r="R98" i="2"/>
  <c r="L98" i="2"/>
  <c r="R97" i="2"/>
  <c r="L97" i="2"/>
  <c r="R96" i="2"/>
  <c r="L96" i="2"/>
  <c r="R95" i="2"/>
  <c r="L95" i="2"/>
  <c r="T93" i="2"/>
  <c r="P93" i="2"/>
  <c r="N93" i="2"/>
  <c r="J93" i="2"/>
  <c r="H93" i="2"/>
  <c r="R92" i="2"/>
  <c r="L92" i="2"/>
  <c r="R91" i="2"/>
  <c r="L91" i="2"/>
  <c r="R90" i="2"/>
  <c r="L90" i="2"/>
  <c r="R89" i="2"/>
  <c r="L89" i="2"/>
  <c r="R88" i="2"/>
  <c r="L88" i="2"/>
  <c r="R87" i="2"/>
  <c r="L87" i="2"/>
  <c r="R86" i="2"/>
  <c r="L86" i="2"/>
  <c r="T84" i="2"/>
  <c r="P84" i="2"/>
  <c r="N84" i="2"/>
  <c r="J84" i="2"/>
  <c r="H84" i="2"/>
  <c r="R82" i="2"/>
  <c r="L82" i="2"/>
  <c r="R81" i="2"/>
  <c r="L81" i="2"/>
  <c r="R80" i="2"/>
  <c r="L80" i="2"/>
  <c r="R79" i="2"/>
  <c r="L79" i="2"/>
  <c r="R78" i="2"/>
  <c r="L78" i="2"/>
  <c r="T74" i="2"/>
  <c r="P74" i="2"/>
  <c r="N74" i="2"/>
  <c r="J74" i="2"/>
  <c r="H74" i="2"/>
  <c r="R73" i="2"/>
  <c r="L73" i="2"/>
  <c r="R72" i="2"/>
  <c r="L72" i="2"/>
  <c r="R71" i="2"/>
  <c r="L71" i="2"/>
  <c r="R70" i="2"/>
  <c r="L70" i="2"/>
  <c r="R69" i="2"/>
  <c r="L69" i="2"/>
  <c r="R68" i="2"/>
  <c r="L68" i="2"/>
  <c r="T65" i="2"/>
  <c r="P65" i="2"/>
  <c r="N65" i="2"/>
  <c r="J65" i="2"/>
  <c r="H65" i="2"/>
  <c r="R64" i="2"/>
  <c r="L64" i="2"/>
  <c r="R63" i="2"/>
  <c r="L63" i="2"/>
  <c r="R62" i="2"/>
  <c r="L62" i="2"/>
  <c r="R61" i="2"/>
  <c r="L61" i="2"/>
  <c r="R59" i="2"/>
  <c r="L59" i="2"/>
  <c r="T57" i="2"/>
  <c r="P57" i="2"/>
  <c r="N57" i="2"/>
  <c r="J57" i="2"/>
  <c r="H57" i="2"/>
  <c r="R56" i="2"/>
  <c r="L56" i="2"/>
  <c r="R55" i="2"/>
  <c r="L55" i="2"/>
  <c r="T53" i="2"/>
  <c r="P53" i="2"/>
  <c r="N53" i="2"/>
  <c r="J53" i="2"/>
  <c r="H53" i="2"/>
  <c r="R52" i="2"/>
  <c r="L52" i="2"/>
  <c r="R51" i="2"/>
  <c r="L51" i="2"/>
  <c r="R50" i="2"/>
  <c r="L50" i="2"/>
  <c r="R49" i="2"/>
  <c r="L49" i="2"/>
  <c r="R48" i="2"/>
  <c r="L48" i="2"/>
  <c r="T44" i="2"/>
  <c r="P44" i="2"/>
  <c r="N44" i="2"/>
  <c r="J44" i="2"/>
  <c r="H44" i="2"/>
  <c r="R43" i="2"/>
  <c r="L43" i="2"/>
  <c r="R42" i="2"/>
  <c r="L42" i="2"/>
  <c r="R41" i="2"/>
  <c r="L41" i="2"/>
  <c r="R40" i="2"/>
  <c r="L40" i="2"/>
  <c r="T38" i="2"/>
  <c r="P38" i="2"/>
  <c r="N38" i="2"/>
  <c r="J38" i="2"/>
  <c r="J45" i="2" s="1"/>
  <c r="H38" i="2"/>
  <c r="R37" i="2"/>
  <c r="L37" i="2"/>
  <c r="R36" i="2"/>
  <c r="L36" i="2"/>
  <c r="R35" i="2"/>
  <c r="L35" i="2"/>
  <c r="R34" i="2"/>
  <c r="L34" i="2"/>
  <c r="T31" i="2"/>
  <c r="P31" i="2"/>
  <c r="N31" i="2"/>
  <c r="J31" i="2"/>
  <c r="H31" i="2"/>
  <c r="R30" i="2"/>
  <c r="L30" i="2"/>
  <c r="R29" i="2"/>
  <c r="L29" i="2"/>
  <c r="R28" i="2"/>
  <c r="L28" i="2"/>
  <c r="R27" i="2"/>
  <c r="L27" i="2"/>
  <c r="R26" i="2"/>
  <c r="L26" i="2"/>
  <c r="T24" i="2"/>
  <c r="P24" i="2"/>
  <c r="N24" i="2"/>
  <c r="J24" i="2"/>
  <c r="H24" i="2"/>
  <c r="R23" i="2"/>
  <c r="L23" i="2"/>
  <c r="R22" i="2"/>
  <c r="L22" i="2"/>
  <c r="R21" i="2"/>
  <c r="L21" i="2"/>
  <c r="T19" i="2"/>
  <c r="P19" i="2"/>
  <c r="N19" i="2"/>
  <c r="J19" i="2"/>
  <c r="H19" i="2"/>
  <c r="R18" i="2"/>
  <c r="L18" i="2"/>
  <c r="R17" i="2"/>
  <c r="L17" i="2"/>
  <c r="R16" i="2"/>
  <c r="L16" i="2"/>
  <c r="R15" i="2"/>
  <c r="L15" i="2"/>
  <c r="R14" i="2"/>
  <c r="L14" i="2"/>
  <c r="T12" i="2"/>
  <c r="P12" i="2"/>
  <c r="N12" i="2"/>
  <c r="J12" i="2"/>
  <c r="H12" i="2"/>
  <c r="R11" i="2"/>
  <c r="L11" i="2"/>
  <c r="R9" i="2"/>
  <c r="L9" i="2"/>
  <c r="R8" i="2"/>
  <c r="L8" i="2"/>
  <c r="R7" i="2"/>
  <c r="L7" i="2"/>
  <c r="R6" i="2"/>
  <c r="L6" i="2"/>
  <c r="R31" i="2" l="1"/>
  <c r="R74" i="2"/>
  <c r="R24" i="2"/>
  <c r="L38" i="2"/>
  <c r="V44" i="2"/>
  <c r="V74" i="2"/>
  <c r="J138" i="2"/>
  <c r="L101" i="2"/>
  <c r="L118" i="2"/>
  <c r="V24" i="2"/>
  <c r="V31" i="2"/>
  <c r="R112" i="2"/>
  <c r="L74" i="2"/>
  <c r="R93" i="2"/>
  <c r="V19" i="2"/>
  <c r="L24" i="2"/>
  <c r="H45" i="2"/>
  <c r="R101" i="2"/>
  <c r="V137" i="2"/>
  <c r="L93" i="2"/>
  <c r="V101" i="2"/>
  <c r="V112" i="2"/>
  <c r="R123" i="2"/>
  <c r="L132" i="2"/>
  <c r="L31" i="2"/>
  <c r="L44" i="2"/>
  <c r="T58" i="2"/>
  <c r="V53" i="2"/>
  <c r="P58" i="2"/>
  <c r="R65" i="2"/>
  <c r="N138" i="2"/>
  <c r="L112" i="2"/>
  <c r="R132" i="2"/>
  <c r="T147" i="2"/>
  <c r="V144" i="2"/>
  <c r="L19" i="2"/>
  <c r="R38" i="2"/>
  <c r="N45" i="2"/>
  <c r="P45" i="2"/>
  <c r="L53" i="2"/>
  <c r="H58" i="2"/>
  <c r="H66" i="2" s="1"/>
  <c r="H75" i="2" s="1"/>
  <c r="V57" i="2"/>
  <c r="L65" i="2"/>
  <c r="V65" i="2"/>
  <c r="R118" i="2"/>
  <c r="V132" i="2"/>
  <c r="L137" i="2"/>
  <c r="R19" i="2"/>
  <c r="L45" i="2"/>
  <c r="T45" i="2"/>
  <c r="V45" i="2" s="1"/>
  <c r="V38" i="2"/>
  <c r="N58" i="2"/>
  <c r="J58" i="2"/>
  <c r="L58" i="2" s="1"/>
  <c r="V93" i="2"/>
  <c r="V118" i="2"/>
  <c r="L123" i="2"/>
  <c r="V123" i="2"/>
  <c r="R137" i="2"/>
  <c r="L84" i="2"/>
  <c r="R84" i="2"/>
  <c r="T138" i="2"/>
  <c r="V84" i="2"/>
  <c r="V12" i="2"/>
  <c r="P148" i="2"/>
  <c r="R148" i="2" s="1"/>
  <c r="R147" i="2"/>
  <c r="L148" i="2"/>
  <c r="H138" i="2"/>
  <c r="P138" i="2"/>
  <c r="R12" i="2"/>
  <c r="R57" i="2"/>
  <c r="R144" i="2"/>
  <c r="L147" i="2"/>
  <c r="L12" i="2"/>
  <c r="R44" i="2"/>
  <c r="R53" i="2"/>
  <c r="L57" i="2"/>
  <c r="L144" i="2"/>
  <c r="B31" i="1"/>
  <c r="F24" i="1"/>
  <c r="E24" i="1"/>
  <c r="F18" i="1"/>
  <c r="E18" i="1"/>
  <c r="B9" i="1"/>
  <c r="J66" i="2" l="1"/>
  <c r="P66" i="2"/>
  <c r="P75" i="2" s="1"/>
  <c r="R138" i="2"/>
  <c r="V58" i="2"/>
  <c r="N66" i="2"/>
  <c r="N75" i="2" s="1"/>
  <c r="N139" i="2" s="1"/>
  <c r="N149" i="2" s="1"/>
  <c r="N154" i="2" s="1"/>
  <c r="R45" i="2"/>
  <c r="V138" i="2"/>
  <c r="T148" i="2"/>
  <c r="V148" i="2" s="1"/>
  <c r="V147" i="2"/>
  <c r="R58" i="2"/>
  <c r="H139" i="2"/>
  <c r="H149" i="2" s="1"/>
  <c r="H154" i="2" s="1"/>
  <c r="T66" i="2"/>
  <c r="V66" i="2" s="1"/>
  <c r="R66" i="2"/>
  <c r="P139" i="2"/>
  <c r="R75" i="2"/>
  <c r="L138" i="2"/>
  <c r="J75" i="2"/>
  <c r="L66" i="2"/>
  <c r="T75" i="2" l="1"/>
  <c r="T139" i="2" s="1"/>
  <c r="V75" i="2"/>
  <c r="P149" i="2"/>
  <c r="R139" i="2"/>
  <c r="L75" i="2"/>
  <c r="J139" i="2"/>
  <c r="R149" i="2" l="1"/>
  <c r="P154" i="2"/>
  <c r="T149" i="2"/>
  <c r="V139" i="2"/>
  <c r="J149" i="2"/>
  <c r="L139" i="2"/>
  <c r="L149" i="2" l="1"/>
  <c r="J154" i="2"/>
</calcChain>
</file>

<file path=xl/sharedStrings.xml><?xml version="1.0" encoding="utf-8"?>
<sst xmlns="http://schemas.openxmlformats.org/spreadsheetml/2006/main" count="356" uniqueCount="306">
  <si>
    <t>TEXTILE CENTER DASHBOARD</t>
  </si>
  <si>
    <t>Cash &amp; Investments-Operating</t>
  </si>
  <si>
    <t xml:space="preserve"> </t>
  </si>
  <si>
    <t>Sunrise Checking - Operating</t>
  </si>
  <si>
    <t>ATTENDANCE</t>
  </si>
  <si>
    <t>FY20</t>
  </si>
  <si>
    <t>FY19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</si>
  <si>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</si>
  <si>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</si>
  <si>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</si>
  <si>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</si>
  <si>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</si>
  <si>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</si>
  <si>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</si>
  <si>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</si>
  <si>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</si>
  <si>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</si>
  <si>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</si>
  <si>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</si>
  <si>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</si>
  <si>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</si>
  <si>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</si>
  <si>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</si>
  <si>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</si>
  <si>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</si>
  <si>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</si>
  <si>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</si>
  <si>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Facebook Followers</t>
  </si>
  <si>
    <t>Vanguard-Temp Restricted</t>
  </si>
  <si>
    <t>Twitter Followers</t>
  </si>
  <si>
    <t>Instagram Followers</t>
  </si>
  <si>
    <t>Temporarty Restricted Grants:</t>
  </si>
  <si>
    <t>Jerome (FY18 2-yr award)</t>
  </si>
  <si>
    <t>EDUCATION</t>
  </si>
  <si>
    <t>Core Adult Classes Capacity Sold</t>
  </si>
  <si>
    <t>Minnesota Historical Society</t>
  </si>
  <si>
    <t>National Programs Capacity Sold</t>
  </si>
  <si>
    <t>Butler Family Foundation</t>
  </si>
  <si>
    <t>Youth Summer Camps - Season to date</t>
  </si>
  <si>
    <t>Field Trips</t>
  </si>
  <si>
    <t>Aroha</t>
  </si>
  <si>
    <t>Library Classes</t>
  </si>
  <si>
    <t>Total Temp Restricted Grants</t>
  </si>
  <si>
    <t>McKnight - Gen Op</t>
  </si>
  <si>
    <t>McKnight - Fellowships</t>
  </si>
  <si>
    <t>AS OF MAY 30, 2019</t>
  </si>
  <si>
    <t>May Program Statistics</t>
  </si>
  <si>
    <t>n/a</t>
  </si>
  <si>
    <t>% of Budget</t>
  </si>
  <si>
    <t>YTD Budget</t>
  </si>
  <si>
    <t>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</si>
  <si>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</si>
  <si>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</si>
  <si>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</si>
  <si>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</si>
  <si>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</si>
  <si>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</si>
  <si>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</si>
  <si>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</si>
  <si>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</si>
  <si>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</si>
  <si>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</si>
  <si>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</si>
  <si>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</si>
  <si>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</si>
  <si>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</si>
  <si>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</si>
  <si>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</si>
  <si>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</si>
  <si>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</si>
  <si>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</si>
  <si>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</si>
  <si>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</si>
  <si>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</si>
  <si>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</si>
  <si>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</si>
  <si>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</si>
  <si>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</si>
  <si>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</si>
  <si>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</si>
  <si>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</si>
  <si>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Classes  (On-site)</t>
  </si>
  <si>
    <t>4351.2 · National Programming</t>
  </si>
  <si>
    <t>4351.3 · Adult Outreach</t>
  </si>
  <si>
    <t>4355 · Adult Group Experience (On-site</t>
  </si>
  <si>
    <t>Total 4350.1 · Adult Education</t>
  </si>
  <si>
    <t>4350.2 · Youth Education</t>
  </si>
  <si>
    <t>4352.1 · Youth Classes (On-Site)</t>
  </si>
  <si>
    <t>4352.2 · Youth Summer Camp</t>
  </si>
  <si>
    <t>4352.3 · Youth Outreach</t>
  </si>
  <si>
    <t>4353 · Youth Guild Kit 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</si>
  <si>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</si>
  <si>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</si>
  <si>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</si>
  <si>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</si>
  <si>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</si>
  <si>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</si>
  <si>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</si>
  <si>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</si>
  <si>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</si>
  <si>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</si>
  <si>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</si>
  <si>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</si>
  <si>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</si>
  <si>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</si>
  <si>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</si>
  <si>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</si>
  <si>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</si>
  <si>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</si>
  <si>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</si>
  <si>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</si>
  <si>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</si>
  <si>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</si>
  <si>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</si>
  <si>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</si>
  <si>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</si>
  <si>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</si>
  <si>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</si>
  <si>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</si>
  <si>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</si>
  <si>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</si>
  <si>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</si>
  <si>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</si>
  <si>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</si>
  <si>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</si>
  <si>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</si>
  <si>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</si>
  <si>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</si>
  <si>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</si>
  <si>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</si>
  <si>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5720 · Payroll Expenses-Hrly PTO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</si>
  <si>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</si>
  <si>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</si>
  <si>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</si>
  <si>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</si>
  <si>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</si>
  <si>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</si>
  <si>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</si>
  <si>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5185 · Diversity Advocacy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</si>
  <si>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</si>
  <si>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</si>
  <si>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</si>
  <si>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</si>
  <si>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</si>
  <si>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</si>
  <si>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</si>
  <si>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</si>
  <si>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</si>
  <si>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</si>
  <si>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</si>
  <si>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5315 · Utilities</t>
  </si>
  <si>
    <t>5320 · Telephone/Communications</t>
  </si>
  <si>
    <t>5325 · Repairs, Maint. &amp; Supplies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</si>
  <si>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</si>
  <si>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</si>
  <si>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</si>
  <si>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</si>
  <si>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</si>
  <si>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</si>
  <si>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</si>
  <si>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</si>
  <si>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</si>
  <si>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</si>
  <si>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</si>
  <si>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</si>
  <si>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</si>
  <si>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</si>
  <si>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</si>
  <si>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</si>
  <si>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</si>
  <si>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</si>
  <si>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</si>
  <si>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</si>
  <si>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</si>
  <si>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</si>
  <si>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</si>
  <si>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</si>
  <si>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</si>
  <si>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5660 · Gift Certificate Gifts</t>
  </si>
  <si>
    <t>Total 5600 · Other Expenses</t>
  </si>
  <si>
    <t>5700 · Business Expenses</t>
  </si>
  <si>
    <t>5715 · Bank &amp; Credit Card Fees</t>
  </si>
  <si>
    <t>5716 · Interest Expense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</si>
  <si>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</si>
  <si>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</si>
  <si>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</si>
  <si>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</si>
  <si>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</si>
  <si>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</si>
  <si>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4025 · Capital Campaign - 2016-2019</t>
  </si>
  <si>
    <t>4028 · Capital Campaign - Indiv Unres</t>
  </si>
  <si>
    <t>Total 4025 · Capital Campaign - 2016-2019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</si>
  <si>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</si>
  <si>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</si>
  <si>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</si>
  <si>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</si>
  <si>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</si>
  <si>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YTD Actual</t>
  </si>
  <si>
    <t>% of YTD Budget</t>
  </si>
  <si>
    <t>% of Annual Budget</t>
  </si>
  <si>
    <t>May Actual</t>
  </si>
  <si>
    <t>May Budget</t>
  </si>
  <si>
    <t>4035 · Restricted Grants for Future Periods</t>
  </si>
  <si>
    <t xml:space="preserve">  - Less Grants Restricted for Future Period</t>
  </si>
  <si>
    <t xml:space="preserve">Operating Net Income  </t>
  </si>
  <si>
    <t>FY19 YTD Actual</t>
  </si>
  <si>
    <t>% FY19-FY20</t>
  </si>
  <si>
    <t>4035 · Restricted for Future Periods</t>
  </si>
  <si>
    <t>May 31, 19</t>
  </si>
  <si>
    <t>ASSETS</t>
  </si>
  <si>
    <t>Current Assets</t>
  </si>
  <si>
    <t>Checking/Savings</t>
  </si>
  <si>
    <t>1000 · Sunrise Bank Operating (0100)</t>
  </si>
  <si>
    <t>1020 · Sunrise Bank Savings (32100)</t>
  </si>
  <si>
    <t>1025 · Pending Transactions</t>
  </si>
  <si>
    <t>1300 · Edward Jones Operating</t>
  </si>
  <si>
    <t>1320 · Operating</t>
  </si>
  <si>
    <t>1322 · Mutual Fund (CIBCX)</t>
  </si>
  <si>
    <t>1326 · Money Market</t>
  </si>
  <si>
    <t>Total 1320 · Operating</t>
  </si>
  <si>
    <t>Total 1300 · Edward Jones Operating</t>
  </si>
  <si>
    <t>1400 · Vanguard Group</t>
  </si>
  <si>
    <t>1410 · Mondale Endowment</t>
  </si>
  <si>
    <t>1411 · Prime Money Market (0030)</t>
  </si>
  <si>
    <t>1412 · Long Term Bond Index (0522)</t>
  </si>
  <si>
    <t>1417 · Total Intl Stock Ix (0569)</t>
  </si>
  <si>
    <t>1418 · Mid-Cap Index Fund Adm (5859)</t>
  </si>
  <si>
    <t>1419 · 500  Index Fund (0540)</t>
  </si>
  <si>
    <t>1420 · Small-Cap Index Fund (0548)</t>
  </si>
  <si>
    <t>1421 · Total Bond Market Index (0584)</t>
  </si>
  <si>
    <t>Total 1410 · Mondale Endowment</t>
  </si>
  <si>
    <t>Total 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</si>
  <si>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</si>
  <si>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</si>
  <si>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</si>
  <si>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</si>
  <si>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</si>
  <si>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</si>
  <si>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</si>
  <si>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</si>
  <si>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</si>
  <si>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1701 · Petty Cash</t>
  </si>
  <si>
    <t>1704 · Shop Cash Bag (Cash Register)</t>
  </si>
  <si>
    <t>1705 · Shop Cash (to make change)</t>
  </si>
  <si>
    <t>Total 1700 · Cash Accounts</t>
  </si>
  <si>
    <t>1710 · Inventory Asset</t>
  </si>
  <si>
    <t>17106 · Notions</t>
  </si>
  <si>
    <t>1710 · Inventory Asset - Other</t>
  </si>
  <si>
    <t>Total 1710 · Inventory Asset</t>
  </si>
  <si>
    <t>1750 · Prepaid Expenses</t>
  </si>
  <si>
    <t>1750.2 · Prepaid Insurance</t>
  </si>
  <si>
    <t>1750.3 · Other Prepaid Expenses</t>
  </si>
  <si>
    <t>Total 1750 · Prepaid Expenses</t>
  </si>
  <si>
    <t>1790 · Receipts Not Deposited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</si>
  <si>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</si>
  <si>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</si>
  <si>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</si>
  <si>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</si>
  <si>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</si>
  <si>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</si>
  <si>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</si>
  <si>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</si>
  <si>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</si>
  <si>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</si>
  <si>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</si>
  <si>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</si>
  <si>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</si>
  <si>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</si>
  <si>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</si>
  <si>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</si>
  <si>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</si>
  <si>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</si>
  <si>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</si>
  <si>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</si>
  <si>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1213 - (Reichert) 3635</t>
  </si>
  <si>
    <t>20111 · Visa 2076 (Krumm)</t>
  </si>
  <si>
    <t>Total Credit Cards</t>
  </si>
  <si>
    <t>Other Current Liabilities</t>
  </si>
  <si>
    <t>2100 · Payroll Liabilities</t>
  </si>
  <si>
    <t>2012 · SelectAccount FSA</t>
  </si>
  <si>
    <t>Total 2100 · Payroll Liabilities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</si>
  <si>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</si>
  <si>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</si>
  <si>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</si>
  <si>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</si>
  <si>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</si>
  <si>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</si>
  <si>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</si>
  <si>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</si>
  <si>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</si>
  <si>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</si>
  <si>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</si>
  <si>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</si>
  <si>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</si>
  <si>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</si>
  <si>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</si>
  <si>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</si>
  <si>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</si>
  <si>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</si>
  <si>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</si>
  <si>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</si>
  <si>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</si>
  <si>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t>% of May Budget</t>
  </si>
  <si>
    <t>FY20 YTD</t>
  </si>
  <si>
    <t>FY19 YTD</t>
  </si>
  <si>
    <t>YTD Program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</si>
</sst>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\-#,##0"/>
    <numFmt numFmtId="167" formatCode="#,##0%;\-#,##0%"/>
    <numFmt numFmtId="168" formatCode="#,##0.00;\-#,##0.00"/>
  </numFmts>
  <fonts count="15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Helvetica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4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4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4" fontId="9" fillId="0" borderId="7" xfId="2" applyNumberFormat="1" applyFont="1" applyFill="1" applyBorder="1"/>
    <xf numFmtId="164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5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2" applyNumberFormat="1" applyFont="1" applyFill="1" applyBorder="1"/>
    <xf numFmtId="164" fontId="6" fillId="0" borderId="4" xfId="2" applyNumberFormat="1" applyFont="1" applyFill="1" applyBorder="1"/>
    <xf numFmtId="164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4" fontId="8" fillId="0" borderId="4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0" fontId="5" fillId="0" borderId="11" xfId="0" applyFont="1" applyFill="1" applyBorder="1"/>
    <xf numFmtId="164" fontId="3" fillId="0" borderId="2" xfId="2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indent="1"/>
    </xf>
    <xf numFmtId="164" fontId="8" fillId="0" borderId="8" xfId="2" applyNumberFormat="1" applyFont="1" applyFill="1" applyBorder="1"/>
    <xf numFmtId="164" fontId="9" fillId="0" borderId="9" xfId="2" applyNumberFormat="1" applyFont="1" applyFill="1" applyBorder="1"/>
    <xf numFmtId="164" fontId="6" fillId="0" borderId="0" xfId="2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41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41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41" fontId="9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8" fillId="0" borderId="0" xfId="1" quotePrefix="1" applyFont="1" applyFill="1" applyBorder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49" fontId="0" fillId="0" borderId="0" xfId="0" applyNumberFormat="1" applyFill="1" applyBorder="1" applyAlignment="1">
      <alignment horizontal="centerContinuous"/>
    </xf>
    <xf numFmtId="0" fontId="0" fillId="0" borderId="0" xfId="0" applyFill="1"/>
    <xf numFmtId="9" fontId="12" fillId="0" borderId="15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/>
    </xf>
    <xf numFmtId="0" fontId="13" fillId="0" borderId="0" xfId="0" applyNumberFormat="1" applyFont="1" applyFill="1"/>
    <xf numFmtId="49" fontId="13" fillId="0" borderId="0" xfId="0" quotePrefix="1" applyNumberFormat="1" applyFont="1" applyFill="1"/>
    <xf numFmtId="49" fontId="13" fillId="0" borderId="19" xfId="0" applyNumberFormat="1" applyFont="1" applyFill="1" applyBorder="1" applyAlignment="1">
      <alignment horizontal="center" wrapText="1"/>
    </xf>
    <xf numFmtId="49" fontId="13" fillId="0" borderId="20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0" fontId="14" fillId="0" borderId="0" xfId="0" applyNumberFormat="1" applyFont="1" applyFill="1"/>
    <xf numFmtId="49" fontId="11" fillId="0" borderId="14" xfId="0" applyNumberFormat="1" applyFont="1" applyBorder="1" applyAlignment="1">
      <alignment horizontal="center"/>
    </xf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16" xfId="0" applyNumberFormat="1" applyFont="1" applyBorder="1"/>
    <xf numFmtId="168" fontId="11" fillId="0" borderId="17" xfId="0" applyNumberFormat="1" applyFont="1" applyBorder="1"/>
    <xf numFmtId="168" fontId="11" fillId="0" borderId="15" xfId="0" applyNumberFormat="1" applyFont="1" applyBorder="1"/>
    <xf numFmtId="168" fontId="11" fillId="0" borderId="18" xfId="0" applyNumberFormat="1" applyFont="1" applyBorder="1"/>
    <xf numFmtId="164" fontId="3" fillId="0" borderId="2" xfId="2" applyNumberFormat="1" applyFont="1" applyFill="1" applyBorder="1"/>
    <xf numFmtId="164" fontId="8" fillId="0" borderId="0" xfId="1" applyNumberFormat="1" applyFont="1" applyFill="1" applyBorder="1"/>
    <xf numFmtId="49" fontId="1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6" fontId="11" fillId="0" borderId="0" xfId="0" applyNumberFormat="1" applyFont="1" applyFill="1"/>
    <xf numFmtId="167" fontId="11" fillId="0" borderId="0" xfId="0" applyNumberFormat="1" applyFont="1" applyFill="1"/>
    <xf numFmtId="166" fontId="0" fillId="0" borderId="0" xfId="0" applyNumberFormat="1" applyFill="1"/>
    <xf numFmtId="166" fontId="11" fillId="0" borderId="15" xfId="0" applyNumberFormat="1" applyFont="1" applyFill="1" applyBorder="1"/>
    <xf numFmtId="167" fontId="11" fillId="0" borderId="15" xfId="0" applyNumberFormat="1" applyFont="1" applyFill="1" applyBorder="1"/>
    <xf numFmtId="166" fontId="11" fillId="0" borderId="0" xfId="0" applyNumberFormat="1" applyFont="1" applyFill="1" applyBorder="1"/>
    <xf numFmtId="167" fontId="11" fillId="0" borderId="0" xfId="0" applyNumberFormat="1" applyFont="1" applyFill="1" applyBorder="1"/>
    <xf numFmtId="166" fontId="11" fillId="0" borderId="16" xfId="0" applyNumberFormat="1" applyFont="1" applyFill="1" applyBorder="1"/>
    <xf numFmtId="167" fontId="11" fillId="0" borderId="16" xfId="0" applyNumberFormat="1" applyFont="1" applyFill="1" applyBorder="1"/>
    <xf numFmtId="166" fontId="11" fillId="0" borderId="17" xfId="0" applyNumberFormat="1" applyFont="1" applyFill="1" applyBorder="1"/>
    <xf numFmtId="167" fontId="11" fillId="0" borderId="17" xfId="0" applyNumberFormat="1" applyFont="1" applyFill="1" applyBorder="1"/>
    <xf numFmtId="166" fontId="11" fillId="0" borderId="18" xfId="0" applyNumberFormat="1" applyFont="1" applyFill="1" applyBorder="1"/>
    <xf numFmtId="167" fontId="11" fillId="0" borderId="18" xfId="0" applyNumberFormat="1" applyFont="1" applyFill="1" applyBorder="1"/>
    <xf numFmtId="0" fontId="11" fillId="0" borderId="0" xfId="0" applyFont="1" applyFill="1"/>
    <xf numFmtId="0" fontId="11" fillId="0" borderId="0" xfId="0" applyNumberFormat="1" applyFont="1" applyFill="1"/>
    <xf numFmtId="0" fontId="0" fillId="0" borderId="0" xfId="0" applyNumberFormat="1" applyFill="1"/>
    <xf numFmtId="166" fontId="0" fillId="0" borderId="3" xfId="0" applyNumberFormat="1" applyFill="1" applyBorder="1"/>
    <xf numFmtId="166" fontId="11" fillId="0" borderId="3" xfId="0" applyNumberFormat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3" xfId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Normal="100" workbookViewId="0">
      <selection activeCell="K28" sqref="K28"/>
    </sheetView>
  </sheetViews>
  <sheetFormatPr baseColWidth="10" defaultColWidth="8.83203125" defaultRowHeight="14" x14ac:dyDescent="0.15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6" width="12.6640625" style="1" customWidth="1"/>
    <col min="7" max="7" width="1.5" style="1" customWidth="1"/>
    <col min="8" max="9" width="12.6640625" style="1" customWidth="1"/>
    <col min="10" max="16384" width="8.83203125" style="1"/>
  </cols>
  <sheetData>
    <row r="1" spans="1:9" ht="16" x14ac:dyDescent="0.2">
      <c r="A1" s="99" t="s">
        <v>0</v>
      </c>
      <c r="B1" s="99"/>
    </row>
    <row r="2" spans="1:9" ht="16" x14ac:dyDescent="0.2">
      <c r="A2" s="99" t="s">
        <v>45</v>
      </c>
      <c r="B2" s="99"/>
    </row>
    <row r="4" spans="1:9" ht="15" thickBot="1" x14ac:dyDescent="0.2">
      <c r="A4" s="95" t="s">
        <v>1</v>
      </c>
      <c r="B4" s="96"/>
      <c r="D4" s="95" t="s">
        <v>46</v>
      </c>
      <c r="E4" s="100"/>
      <c r="F4" s="96"/>
      <c r="H4" s="95" t="s">
        <v>305</v>
      </c>
      <c r="I4" s="96"/>
    </row>
    <row r="5" spans="1:9" ht="15" thickTop="1" x14ac:dyDescent="0.15">
      <c r="A5" s="2"/>
      <c r="B5" s="3" t="s">
        <v>2</v>
      </c>
      <c r="E5" s="4"/>
      <c r="F5" s="4"/>
    </row>
    <row r="6" spans="1:9" x14ac:dyDescent="0.15">
      <c r="A6" s="5" t="s">
        <v>3</v>
      </c>
      <c r="B6" s="6">
        <f>+'Balance Sheet'!G5</f>
        <v>121152.89</v>
      </c>
      <c r="D6" s="7" t="s">
        <v>4</v>
      </c>
      <c r="E6" s="8" t="s">
        <v>5</v>
      </c>
      <c r="F6" s="8" t="s">
        <v>6</v>
      </c>
      <c r="G6" s="9"/>
      <c r="H6" s="8" t="s">
        <v>303</v>
      </c>
      <c r="I6" s="8" t="s">
        <v>304</v>
      </c>
    </row>
    <row r="7" spans="1:9" x14ac:dyDescent="0.15">
      <c r="A7" s="5" t="s">
        <v>7</v>
      </c>
      <c r="B7" s="6">
        <f>+'Balance Sheet'!G6</f>
        <v>112634.59</v>
      </c>
      <c r="D7" s="10" t="s">
        <v>8</v>
      </c>
      <c r="E7" s="11">
        <v>2133</v>
      </c>
      <c r="F7" s="11">
        <v>1944</v>
      </c>
      <c r="G7" s="9"/>
      <c r="H7" s="11">
        <f>1441+2133</f>
        <v>3574</v>
      </c>
      <c r="I7" s="11">
        <f>1664+1944</f>
        <v>3608</v>
      </c>
    </row>
    <row r="8" spans="1:9" x14ac:dyDescent="0.15">
      <c r="A8" s="5" t="s">
        <v>9</v>
      </c>
      <c r="B8" s="6">
        <f>+'Balance Sheet'!G13</f>
        <v>25740.52</v>
      </c>
      <c r="D8" s="10" t="s">
        <v>10</v>
      </c>
      <c r="E8" s="11">
        <v>630</v>
      </c>
      <c r="F8" s="11">
        <v>471</v>
      </c>
      <c r="G8" s="12"/>
      <c r="H8" s="11">
        <f>397+630</f>
        <v>1027</v>
      </c>
      <c r="I8" s="11">
        <f>897+471</f>
        <v>1368</v>
      </c>
    </row>
    <row r="9" spans="1:9" x14ac:dyDescent="0.15">
      <c r="A9" s="13" t="s">
        <v>11</v>
      </c>
      <c r="B9" s="14">
        <f>SUM(B6:B8)</f>
        <v>259527.99999999997</v>
      </c>
      <c r="D9" s="10" t="s">
        <v>12</v>
      </c>
      <c r="E9" s="11">
        <v>457</v>
      </c>
      <c r="F9" s="11">
        <v>402</v>
      </c>
      <c r="G9" s="12"/>
      <c r="H9" s="11">
        <f>386+457</f>
        <v>843</v>
      </c>
      <c r="I9" s="11">
        <f>329+402</f>
        <v>731</v>
      </c>
    </row>
    <row r="10" spans="1:9" x14ac:dyDescent="0.15">
      <c r="A10" s="13"/>
      <c r="B10" s="15"/>
      <c r="C10" s="16"/>
      <c r="D10" s="10" t="s">
        <v>13</v>
      </c>
      <c r="E10" s="11"/>
      <c r="F10" s="11"/>
      <c r="G10" s="9"/>
      <c r="H10" s="11"/>
      <c r="I10" s="11"/>
    </row>
    <row r="11" spans="1:9" x14ac:dyDescent="0.15">
      <c r="A11" s="5" t="s">
        <v>14</v>
      </c>
      <c r="B11" s="6">
        <v>75000</v>
      </c>
      <c r="C11" s="16"/>
      <c r="D11" s="10" t="s">
        <v>15</v>
      </c>
      <c r="E11" s="11">
        <v>25</v>
      </c>
      <c r="F11" s="11">
        <v>17</v>
      </c>
      <c r="G11" s="12"/>
      <c r="H11" s="11">
        <f>26+25</f>
        <v>51</v>
      </c>
      <c r="I11" s="11">
        <f>20+17</f>
        <v>37</v>
      </c>
    </row>
    <row r="12" spans="1:9" x14ac:dyDescent="0.15">
      <c r="A12" s="17" t="s">
        <v>16</v>
      </c>
      <c r="B12" s="18">
        <f>+(B6+B7)/(1223750/12)</f>
        <v>2.2925023575076606</v>
      </c>
      <c r="C12" s="16"/>
      <c r="D12" s="10" t="s">
        <v>17</v>
      </c>
      <c r="E12" s="11">
        <v>44</v>
      </c>
      <c r="F12" s="11">
        <v>37</v>
      </c>
      <c r="G12" s="12"/>
      <c r="H12" s="11">
        <f>46+44</f>
        <v>90</v>
      </c>
      <c r="I12" s="11">
        <f>45+37</f>
        <v>82</v>
      </c>
    </row>
    <row r="13" spans="1:9" x14ac:dyDescent="0.15">
      <c r="A13" s="19"/>
      <c r="B13" s="20"/>
      <c r="D13" s="10" t="s">
        <v>18</v>
      </c>
      <c r="E13" s="11">
        <v>7</v>
      </c>
      <c r="F13" s="11">
        <v>12</v>
      </c>
      <c r="G13" s="12"/>
      <c r="H13" s="11">
        <f>18+7</f>
        <v>25</v>
      </c>
      <c r="I13" s="11">
        <f>10+12</f>
        <v>22</v>
      </c>
    </row>
    <row r="14" spans="1:9" x14ac:dyDescent="0.15">
      <c r="D14" s="10" t="s">
        <v>19</v>
      </c>
      <c r="E14" s="11">
        <v>5</v>
      </c>
      <c r="F14" s="11">
        <v>10</v>
      </c>
      <c r="G14" s="9"/>
      <c r="H14" s="11">
        <f>5+5</f>
        <v>10</v>
      </c>
      <c r="I14" s="11">
        <f>8+10</f>
        <v>18</v>
      </c>
    </row>
    <row r="15" spans="1:9" x14ac:dyDescent="0.15">
      <c r="D15" s="10" t="s">
        <v>20</v>
      </c>
      <c r="E15" s="11">
        <v>1</v>
      </c>
      <c r="F15" s="11">
        <v>0</v>
      </c>
      <c r="G15" s="12"/>
      <c r="H15" s="11">
        <f>1+1</f>
        <v>2</v>
      </c>
      <c r="I15" s="11">
        <f>1+0</f>
        <v>1</v>
      </c>
    </row>
    <row r="16" spans="1:9" ht="15" thickBot="1" x14ac:dyDescent="0.2">
      <c r="A16" s="101" t="s">
        <v>21</v>
      </c>
      <c r="B16" s="102"/>
      <c r="C16" s="16"/>
      <c r="D16" s="10" t="s">
        <v>22</v>
      </c>
      <c r="E16" s="11">
        <v>0</v>
      </c>
      <c r="F16" s="11">
        <v>0</v>
      </c>
      <c r="G16" s="12"/>
      <c r="H16" s="11">
        <f>22+0</f>
        <v>22</v>
      </c>
      <c r="I16" s="11">
        <f>22+0</f>
        <v>22</v>
      </c>
    </row>
    <row r="17" spans="1:9" ht="15" thickTop="1" x14ac:dyDescent="0.15">
      <c r="A17" s="21" t="s">
        <v>23</v>
      </c>
      <c r="B17" s="22">
        <v>182725</v>
      </c>
      <c r="C17" s="16"/>
      <c r="D17" s="23"/>
      <c r="E17" s="24"/>
      <c r="F17" s="24"/>
      <c r="G17" s="12"/>
      <c r="H17" s="24"/>
      <c r="I17" s="24"/>
    </row>
    <row r="18" spans="1:9" x14ac:dyDescent="0.15">
      <c r="A18" s="21"/>
      <c r="B18" s="22"/>
      <c r="C18" s="16"/>
      <c r="D18" s="7" t="s">
        <v>24</v>
      </c>
      <c r="E18" s="8" t="str">
        <f>+E6</f>
        <v>FY20</v>
      </c>
      <c r="F18" s="8" t="str">
        <f>+F6</f>
        <v>FY19</v>
      </c>
      <c r="G18" s="12"/>
      <c r="H18" s="16"/>
      <c r="I18" s="16"/>
    </row>
    <row r="19" spans="1:9" ht="15" thickBot="1" x14ac:dyDescent="0.2">
      <c r="A19" s="97" t="s">
        <v>25</v>
      </c>
      <c r="B19" s="98"/>
      <c r="C19" s="16"/>
      <c r="D19" s="10" t="s">
        <v>26</v>
      </c>
      <c r="E19" s="11">
        <v>5414</v>
      </c>
      <c r="F19" s="11">
        <v>7600</v>
      </c>
      <c r="G19" s="12"/>
      <c r="H19" s="16"/>
      <c r="I19" s="16"/>
    </row>
    <row r="20" spans="1:9" ht="15" thickTop="1" x14ac:dyDescent="0.15">
      <c r="A20" s="21"/>
      <c r="B20" s="3"/>
      <c r="C20" s="16"/>
      <c r="D20" s="10" t="s">
        <v>27</v>
      </c>
      <c r="E20" s="11">
        <v>8383</v>
      </c>
      <c r="F20" s="11">
        <v>7135</v>
      </c>
      <c r="G20" s="12"/>
      <c r="H20" s="16"/>
      <c r="I20" s="16"/>
    </row>
    <row r="21" spans="1:9" ht="15" thickBot="1" x14ac:dyDescent="0.2">
      <c r="A21" s="25" t="s">
        <v>28</v>
      </c>
      <c r="B21" s="73">
        <f>+'Balance Sheet'!G24-B17</f>
        <v>147726.39000000001</v>
      </c>
      <c r="C21" s="16"/>
      <c r="D21" s="10" t="s">
        <v>29</v>
      </c>
      <c r="E21" s="11">
        <v>6255</v>
      </c>
      <c r="F21" s="11">
        <v>6071</v>
      </c>
      <c r="G21" s="12"/>
      <c r="H21" s="16"/>
      <c r="I21" s="16"/>
    </row>
    <row r="22" spans="1:9" ht="15" thickTop="1" x14ac:dyDescent="0.15">
      <c r="A22" s="26"/>
      <c r="B22" s="27"/>
      <c r="C22" s="16"/>
      <c r="D22" s="10" t="s">
        <v>30</v>
      </c>
      <c r="E22" s="11">
        <v>2371</v>
      </c>
      <c r="F22" s="11">
        <v>1468</v>
      </c>
      <c r="G22" s="12"/>
      <c r="H22" s="16"/>
      <c r="I22" s="16"/>
    </row>
    <row r="23" spans="1:9" x14ac:dyDescent="0.15">
      <c r="A23" s="25" t="s">
        <v>31</v>
      </c>
      <c r="B23" s="6"/>
      <c r="C23" s="16"/>
      <c r="D23" s="23"/>
      <c r="E23" s="24"/>
      <c r="F23" s="24"/>
      <c r="G23" s="12"/>
      <c r="H23" s="16"/>
      <c r="I23" s="16"/>
    </row>
    <row r="24" spans="1:9" x14ac:dyDescent="0.15">
      <c r="A24" s="21" t="s">
        <v>32</v>
      </c>
      <c r="B24" s="6">
        <v>27000</v>
      </c>
      <c r="D24" s="7" t="s">
        <v>33</v>
      </c>
      <c r="E24" s="8" t="str">
        <f>+E6</f>
        <v>FY20</v>
      </c>
      <c r="F24" s="8" t="str">
        <f>+F6</f>
        <v>FY19</v>
      </c>
      <c r="G24" s="9"/>
      <c r="H24" s="16"/>
      <c r="I24" s="16"/>
    </row>
    <row r="25" spans="1:9" x14ac:dyDescent="0.15">
      <c r="A25" s="21" t="s">
        <v>35</v>
      </c>
      <c r="B25" s="3">
        <v>9950</v>
      </c>
      <c r="D25" s="10" t="s">
        <v>34</v>
      </c>
      <c r="E25" s="28">
        <v>0.66</v>
      </c>
      <c r="F25" s="28">
        <v>0.63</v>
      </c>
      <c r="G25" s="9"/>
      <c r="H25" s="16"/>
      <c r="I25" s="16"/>
    </row>
    <row r="26" spans="1:9" s="16" customFormat="1" x14ac:dyDescent="0.15">
      <c r="A26" s="21" t="s">
        <v>37</v>
      </c>
      <c r="B26" s="3">
        <v>30000</v>
      </c>
      <c r="D26" s="10" t="s">
        <v>36</v>
      </c>
      <c r="E26" s="28" t="s">
        <v>47</v>
      </c>
      <c r="F26" s="28">
        <v>0.96</v>
      </c>
    </row>
    <row r="27" spans="1:9" s="16" customFormat="1" x14ac:dyDescent="0.15">
      <c r="A27" s="21" t="s">
        <v>43</v>
      </c>
      <c r="B27" s="3">
        <v>50000</v>
      </c>
      <c r="D27" s="10" t="s">
        <v>38</v>
      </c>
      <c r="E27" s="11">
        <v>137</v>
      </c>
      <c r="F27" s="11">
        <v>110</v>
      </c>
    </row>
    <row r="28" spans="1:9" s="16" customFormat="1" x14ac:dyDescent="0.15">
      <c r="A28" s="21" t="s">
        <v>40</v>
      </c>
      <c r="B28" s="3">
        <v>12500</v>
      </c>
      <c r="D28" s="10" t="s">
        <v>39</v>
      </c>
      <c r="E28" s="11">
        <v>12</v>
      </c>
      <c r="F28" s="11">
        <v>2</v>
      </c>
    </row>
    <row r="29" spans="1:9" s="16" customFormat="1" ht="14.25" customHeight="1" x14ac:dyDescent="0.15">
      <c r="A29" s="21" t="s">
        <v>44</v>
      </c>
      <c r="B29" s="3">
        <v>375000</v>
      </c>
      <c r="D29" s="10" t="s">
        <v>41</v>
      </c>
      <c r="E29" s="11">
        <v>1</v>
      </c>
      <c r="F29" s="11">
        <v>3</v>
      </c>
    </row>
    <row r="30" spans="1:9" s="16" customFormat="1" ht="14.25" customHeight="1" x14ac:dyDescent="0.15">
      <c r="A30" s="21"/>
      <c r="B30" s="3"/>
      <c r="D30" s="29"/>
      <c r="E30" s="24"/>
      <c r="F30" s="24"/>
    </row>
    <row r="31" spans="1:9" s="16" customFormat="1" ht="14.25" customHeight="1" thickBot="1" x14ac:dyDescent="0.2">
      <c r="A31" s="25" t="s">
        <v>42</v>
      </c>
      <c r="B31" s="30">
        <f>SUM(B24:B30)</f>
        <v>504450</v>
      </c>
      <c r="D31" s="12"/>
      <c r="E31" s="31"/>
      <c r="F31" s="31"/>
    </row>
    <row r="32" spans="1:9" s="16" customFormat="1" ht="14.25" customHeight="1" thickTop="1" x14ac:dyDescent="0.15">
      <c r="A32" s="32"/>
      <c r="B32" s="33"/>
      <c r="D32" s="12"/>
      <c r="E32" s="31"/>
      <c r="F32" s="31"/>
    </row>
    <row r="33" spans="1:4" s="16" customFormat="1" ht="14.25" customHeight="1" x14ac:dyDescent="0.15">
      <c r="A33" s="34"/>
      <c r="B33" s="34"/>
    </row>
    <row r="34" spans="1:4" s="16" customFormat="1" ht="14.25" customHeight="1" x14ac:dyDescent="0.15">
      <c r="A34" s="37"/>
      <c r="B34" s="74"/>
      <c r="D34" s="35"/>
    </row>
    <row r="35" spans="1:4" s="16" customFormat="1" ht="14.25" customHeight="1" x14ac:dyDescent="0.15">
      <c r="A35" s="37"/>
      <c r="B35" s="44"/>
      <c r="C35" s="44"/>
    </row>
    <row r="36" spans="1:4" s="16" customFormat="1" x14ac:dyDescent="0.15">
      <c r="A36" s="44"/>
      <c r="B36" s="36"/>
    </row>
    <row r="37" spans="1:4" s="16" customFormat="1" x14ac:dyDescent="0.15">
      <c r="A37" s="37"/>
      <c r="B37" s="38"/>
    </row>
    <row r="38" spans="1:4" s="16" customFormat="1" x14ac:dyDescent="0.15">
      <c r="A38" s="37"/>
      <c r="B38" s="38"/>
    </row>
    <row r="39" spans="1:4" s="16" customFormat="1" x14ac:dyDescent="0.15">
      <c r="A39" s="37"/>
      <c r="B39" s="38"/>
    </row>
    <row r="40" spans="1:4" s="16" customFormat="1" x14ac:dyDescent="0.15">
      <c r="A40" s="37"/>
      <c r="B40" s="38"/>
    </row>
    <row r="41" spans="1:4" s="16" customFormat="1" x14ac:dyDescent="0.15">
      <c r="A41" s="39"/>
      <c r="B41" s="40"/>
    </row>
    <row r="42" spans="1:4" s="16" customFormat="1" x14ac:dyDescent="0.15">
      <c r="A42" s="37"/>
      <c r="B42" s="38"/>
    </row>
    <row r="43" spans="1:4" s="16" customFormat="1" x14ac:dyDescent="0.15">
      <c r="A43" s="37"/>
      <c r="B43" s="38"/>
    </row>
    <row r="44" spans="1:4" s="16" customFormat="1" x14ac:dyDescent="0.15">
      <c r="A44" s="41"/>
      <c r="B44" s="42"/>
    </row>
    <row r="45" spans="1:4" s="16" customFormat="1" x14ac:dyDescent="0.15">
      <c r="A45" s="19"/>
      <c r="B45" s="19"/>
    </row>
    <row r="46" spans="1:4" s="16" customFormat="1" x14ac:dyDescent="0.15">
      <c r="A46" s="19"/>
      <c r="B46" s="43"/>
    </row>
    <row r="47" spans="1:4" s="16" customFormat="1" x14ac:dyDescent="0.15">
      <c r="A47" s="19"/>
      <c r="B47" s="19"/>
    </row>
    <row r="48" spans="1:4" s="16" customFormat="1" x14ac:dyDescent="0.15"/>
  </sheetData>
  <mergeCells count="7">
    <mergeCell ref="H4:I4"/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96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25" sqref="K25"/>
    </sheetView>
  </sheetViews>
  <sheetFormatPr baseColWidth="10" defaultColWidth="8.83203125" defaultRowHeight="15" x14ac:dyDescent="0.2"/>
  <cols>
    <col min="1" max="5" width="3" style="49" customWidth="1"/>
    <col min="6" max="6" width="34.33203125" style="49" customWidth="1"/>
    <col min="7" max="7" width="12.33203125" style="50" bestFit="1" customWidth="1"/>
  </cols>
  <sheetData>
    <row r="1" spans="1:7" s="47" customFormat="1" ht="16" thickBot="1" x14ac:dyDescent="0.25">
      <c r="A1" s="46"/>
      <c r="B1" s="46"/>
      <c r="C1" s="46"/>
      <c r="D1" s="46"/>
      <c r="E1" s="46"/>
      <c r="F1" s="46"/>
      <c r="G1" s="66" t="s">
        <v>208</v>
      </c>
    </row>
    <row r="2" spans="1:7" ht="16" thickTop="1" x14ac:dyDescent="0.2">
      <c r="A2" s="45" t="s">
        <v>209</v>
      </c>
      <c r="B2" s="45"/>
      <c r="C2" s="45"/>
      <c r="D2" s="45"/>
      <c r="E2" s="45"/>
      <c r="F2" s="45"/>
      <c r="G2" s="67"/>
    </row>
    <row r="3" spans="1:7" x14ac:dyDescent="0.2">
      <c r="A3" s="45"/>
      <c r="B3" s="45" t="s">
        <v>210</v>
      </c>
      <c r="C3" s="45"/>
      <c r="D3" s="45"/>
      <c r="E3" s="45"/>
      <c r="F3" s="45"/>
      <c r="G3" s="67"/>
    </row>
    <row r="4" spans="1:7" x14ac:dyDescent="0.2">
      <c r="A4" s="45"/>
      <c r="B4" s="45"/>
      <c r="C4" s="45" t="s">
        <v>211</v>
      </c>
      <c r="D4" s="45"/>
      <c r="E4" s="45"/>
      <c r="F4" s="45"/>
      <c r="G4" s="67"/>
    </row>
    <row r="5" spans="1:7" x14ac:dyDescent="0.2">
      <c r="A5" s="45"/>
      <c r="B5" s="45"/>
      <c r="C5" s="45"/>
      <c r="D5" s="45" t="s">
        <v>212</v>
      </c>
      <c r="E5" s="45"/>
      <c r="F5" s="45"/>
      <c r="G5" s="67">
        <v>121152.89</v>
      </c>
    </row>
    <row r="6" spans="1:7" x14ac:dyDescent="0.2">
      <c r="A6" s="45"/>
      <c r="B6" s="45"/>
      <c r="C6" s="45"/>
      <c r="D6" s="45" t="s">
        <v>213</v>
      </c>
      <c r="E6" s="45"/>
      <c r="F6" s="45"/>
      <c r="G6" s="67">
        <v>112634.59</v>
      </c>
    </row>
    <row r="7" spans="1:7" x14ac:dyDescent="0.2">
      <c r="A7" s="45"/>
      <c r="B7" s="45"/>
      <c r="C7" s="45"/>
      <c r="D7" s="45" t="s">
        <v>214</v>
      </c>
      <c r="E7" s="45"/>
      <c r="F7" s="45"/>
      <c r="G7" s="67">
        <v>3</v>
      </c>
    </row>
    <row r="8" spans="1:7" x14ac:dyDescent="0.2">
      <c r="A8" s="45"/>
      <c r="B8" s="45"/>
      <c r="C8" s="45"/>
      <c r="D8" s="45" t="s">
        <v>215</v>
      </c>
      <c r="E8" s="45"/>
      <c r="F8" s="45"/>
      <c r="G8" s="67"/>
    </row>
    <row r="9" spans="1:7" x14ac:dyDescent="0.2">
      <c r="A9" s="45"/>
      <c r="B9" s="45"/>
      <c r="C9" s="45"/>
      <c r="D9" s="45"/>
      <c r="E9" s="45" t="s">
        <v>216</v>
      </c>
      <c r="F9" s="45"/>
      <c r="G9" s="67"/>
    </row>
    <row r="10" spans="1:7" x14ac:dyDescent="0.2">
      <c r="A10" s="45"/>
      <c r="B10" s="45"/>
      <c r="C10" s="45"/>
      <c r="D10" s="45"/>
      <c r="E10" s="45"/>
      <c r="F10" s="45" t="s">
        <v>217</v>
      </c>
      <c r="G10" s="67">
        <v>10704.36</v>
      </c>
    </row>
    <row r="11" spans="1:7" ht="16" thickBot="1" x14ac:dyDescent="0.25">
      <c r="A11" s="45"/>
      <c r="B11" s="45"/>
      <c r="C11" s="45"/>
      <c r="D11" s="45"/>
      <c r="E11" s="45"/>
      <c r="F11" s="45" t="s">
        <v>218</v>
      </c>
      <c r="G11" s="68">
        <v>15036.16</v>
      </c>
    </row>
    <row r="12" spans="1:7" ht="16" thickBot="1" x14ac:dyDescent="0.25">
      <c r="A12" s="45"/>
      <c r="B12" s="45"/>
      <c r="C12" s="45"/>
      <c r="D12" s="45"/>
      <c r="E12" s="45" t="s">
        <v>219</v>
      </c>
      <c r="F12" s="45"/>
      <c r="G12" s="69">
        <f>ROUND(SUM(G9:G11),5)</f>
        <v>25740.52</v>
      </c>
    </row>
    <row r="13" spans="1:7" x14ac:dyDescent="0.2">
      <c r="A13" s="45"/>
      <c r="B13" s="45"/>
      <c r="C13" s="45"/>
      <c r="D13" s="45" t="s">
        <v>220</v>
      </c>
      <c r="E13" s="45"/>
      <c r="F13" s="45"/>
      <c r="G13" s="67">
        <f>ROUND(G8+G12,5)</f>
        <v>25740.52</v>
      </c>
    </row>
    <row r="14" spans="1:7" x14ac:dyDescent="0.2">
      <c r="A14" s="45"/>
      <c r="B14" s="45"/>
      <c r="C14" s="45"/>
      <c r="D14" s="45" t="s">
        <v>221</v>
      </c>
      <c r="E14" s="45"/>
      <c r="F14" s="45"/>
      <c r="G14" s="67"/>
    </row>
    <row r="15" spans="1:7" x14ac:dyDescent="0.2">
      <c r="A15" s="45"/>
      <c r="B15" s="45"/>
      <c r="C15" s="45"/>
      <c r="D15" s="45"/>
      <c r="E15" s="45" t="s">
        <v>222</v>
      </c>
      <c r="F15" s="45"/>
      <c r="G15" s="67"/>
    </row>
    <row r="16" spans="1:7" x14ac:dyDescent="0.2">
      <c r="A16" s="45"/>
      <c r="B16" s="45"/>
      <c r="C16" s="45"/>
      <c r="D16" s="45"/>
      <c r="E16" s="45"/>
      <c r="F16" s="45" t="s">
        <v>223</v>
      </c>
      <c r="G16" s="67">
        <v>2648.03</v>
      </c>
    </row>
    <row r="17" spans="1:7" x14ac:dyDescent="0.2">
      <c r="A17" s="45"/>
      <c r="B17" s="45"/>
      <c r="C17" s="45"/>
      <c r="D17" s="45"/>
      <c r="E17" s="45"/>
      <c r="F17" s="45" t="s">
        <v>224</v>
      </c>
      <c r="G17" s="67">
        <v>47796.04</v>
      </c>
    </row>
    <row r="18" spans="1:7" x14ac:dyDescent="0.2">
      <c r="A18" s="45"/>
      <c r="B18" s="45"/>
      <c r="C18" s="45"/>
      <c r="D18" s="45"/>
      <c r="E18" s="45"/>
      <c r="F18" s="45" t="s">
        <v>225</v>
      </c>
      <c r="G18" s="67">
        <v>28967.77</v>
      </c>
    </row>
    <row r="19" spans="1:7" x14ac:dyDescent="0.2">
      <c r="A19" s="45"/>
      <c r="B19" s="45"/>
      <c r="C19" s="45"/>
      <c r="D19" s="45"/>
      <c r="E19" s="45"/>
      <c r="F19" s="45" t="s">
        <v>226</v>
      </c>
      <c r="G19" s="67">
        <v>72451.95</v>
      </c>
    </row>
    <row r="20" spans="1:7" x14ac:dyDescent="0.2">
      <c r="A20" s="45"/>
      <c r="B20" s="45"/>
      <c r="C20" s="45"/>
      <c r="D20" s="45"/>
      <c r="E20" s="45"/>
      <c r="F20" s="45" t="s">
        <v>227</v>
      </c>
      <c r="G20" s="67">
        <v>123851.01</v>
      </c>
    </row>
    <row r="21" spans="1:7" x14ac:dyDescent="0.2">
      <c r="A21" s="45"/>
      <c r="B21" s="45"/>
      <c r="C21" s="45"/>
      <c r="D21" s="45"/>
      <c r="E21" s="45"/>
      <c r="F21" s="45" t="s">
        <v>228</v>
      </c>
      <c r="G21" s="67">
        <v>53489.39</v>
      </c>
    </row>
    <row r="22" spans="1:7" ht="16" thickBot="1" x14ac:dyDescent="0.25">
      <c r="A22" s="45"/>
      <c r="B22" s="45"/>
      <c r="C22" s="45"/>
      <c r="D22" s="45"/>
      <c r="E22" s="45"/>
      <c r="F22" s="45" t="s">
        <v>229</v>
      </c>
      <c r="G22" s="68">
        <v>1247.2</v>
      </c>
    </row>
    <row r="23" spans="1:7" ht="16" thickBot="1" x14ac:dyDescent="0.25">
      <c r="A23" s="45"/>
      <c r="B23" s="45"/>
      <c r="C23" s="45"/>
      <c r="D23" s="45"/>
      <c r="E23" s="45" t="s">
        <v>230</v>
      </c>
      <c r="F23" s="45"/>
      <c r="G23" s="70">
        <f>ROUND(SUM(G15:G22),5)</f>
        <v>330451.39</v>
      </c>
    </row>
    <row r="24" spans="1:7" ht="16" thickBot="1" x14ac:dyDescent="0.25">
      <c r="A24" s="45"/>
      <c r="B24" s="45"/>
      <c r="C24" s="45"/>
      <c r="D24" s="45" t="s">
        <v>231</v>
      </c>
      <c r="E24" s="45"/>
      <c r="F24" s="45"/>
      <c r="G24" s="69">
        <f>ROUND(G14+G23,5)</f>
        <v>330451.39</v>
      </c>
    </row>
    <row r="25" spans="1:7" x14ac:dyDescent="0.2">
      <c r="A25" s="45"/>
      <c r="B25" s="45"/>
      <c r="C25" s="45" t="s">
        <v>232</v>
      </c>
      <c r="D25" s="45"/>
      <c r="E25" s="45"/>
      <c r="F25" s="45"/>
      <c r="G25" s="67">
        <f>ROUND(SUM(G4:G7)+G13+G24,5)</f>
        <v>589982.39</v>
      </c>
    </row>
    <row r="26" spans="1:7" x14ac:dyDescent="0.2">
      <c r="A26" s="45"/>
      <c r="B26" s="45"/>
      <c r="C26" s="45" t="s">
        <v>233</v>
      </c>
      <c r="D26" s="45"/>
      <c r="E26" s="45"/>
      <c r="F26" s="45"/>
      <c r="G26" s="67"/>
    </row>
    <row r="27" spans="1:7" x14ac:dyDescent="0.2">
      <c r="A27" s="45"/>
      <c r="B27" s="45"/>
      <c r="C27" s="45"/>
      <c r="D27" s="45" t="s">
        <v>234</v>
      </c>
      <c r="E27" s="45"/>
      <c r="F27" s="45"/>
      <c r="G27" s="67">
        <v>3537.48</v>
      </c>
    </row>
    <row r="28" spans="1:7" x14ac:dyDescent="0.2">
      <c r="A28" s="45"/>
      <c r="B28" s="45"/>
      <c r="C28" s="45"/>
      <c r="D28" s="45" t="s">
        <v>235</v>
      </c>
      <c r="E28" s="45"/>
      <c r="F28" s="45"/>
      <c r="G28" s="67">
        <v>3150</v>
      </c>
    </row>
    <row r="29" spans="1:7" x14ac:dyDescent="0.2">
      <c r="A29" s="45"/>
      <c r="B29" s="45"/>
      <c r="C29" s="45"/>
      <c r="D29" s="45" t="s">
        <v>236</v>
      </c>
      <c r="E29" s="45"/>
      <c r="F29" s="45"/>
      <c r="G29" s="67">
        <v>470946</v>
      </c>
    </row>
    <row r="30" spans="1:7" ht="16" thickBot="1" x14ac:dyDescent="0.25">
      <c r="A30" s="45"/>
      <c r="B30" s="45"/>
      <c r="C30" s="45"/>
      <c r="D30" s="45" t="s">
        <v>237</v>
      </c>
      <c r="E30" s="45"/>
      <c r="F30" s="45"/>
      <c r="G30" s="71">
        <v>-1650</v>
      </c>
    </row>
    <row r="31" spans="1:7" x14ac:dyDescent="0.2">
      <c r="A31" s="45"/>
      <c r="B31" s="45"/>
      <c r="C31" s="45" t="s">
        <v>238</v>
      </c>
      <c r="D31" s="45"/>
      <c r="E31" s="45"/>
      <c r="F31" s="45"/>
      <c r="G31" s="67">
        <f>ROUND(SUM(G26:G30),5)</f>
        <v>475983.48</v>
      </c>
    </row>
    <row r="32" spans="1:7" x14ac:dyDescent="0.2">
      <c r="A32" s="45"/>
      <c r="B32" s="45"/>
      <c r="C32" s="45" t="s">
        <v>239</v>
      </c>
      <c r="D32" s="45"/>
      <c r="E32" s="45"/>
      <c r="F32" s="45"/>
      <c r="G32" s="67"/>
    </row>
    <row r="33" spans="1:7" x14ac:dyDescent="0.2">
      <c r="A33" s="45"/>
      <c r="B33" s="45"/>
      <c r="C33" s="45"/>
      <c r="D33" s="45" t="s">
        <v>240</v>
      </c>
      <c r="E33" s="45"/>
      <c r="F33" s="45"/>
      <c r="G33" s="67"/>
    </row>
    <row r="34" spans="1:7" x14ac:dyDescent="0.2">
      <c r="A34" s="45"/>
      <c r="B34" s="45"/>
      <c r="C34" s="45"/>
      <c r="D34" s="45"/>
      <c r="E34" s="45" t="s">
        <v>241</v>
      </c>
      <c r="F34" s="45"/>
      <c r="G34" s="67">
        <v>21.92</v>
      </c>
    </row>
    <row r="35" spans="1:7" x14ac:dyDescent="0.2">
      <c r="A35" s="45"/>
      <c r="B35" s="45"/>
      <c r="C35" s="45"/>
      <c r="D35" s="45"/>
      <c r="E35" s="45" t="s">
        <v>242</v>
      </c>
      <c r="F35" s="45"/>
      <c r="G35" s="67">
        <v>75</v>
      </c>
    </row>
    <row r="36" spans="1:7" ht="16" thickBot="1" x14ac:dyDescent="0.25">
      <c r="A36" s="45"/>
      <c r="B36" s="45"/>
      <c r="C36" s="45"/>
      <c r="D36" s="45"/>
      <c r="E36" s="45" t="s">
        <v>243</v>
      </c>
      <c r="F36" s="45"/>
      <c r="G36" s="71">
        <v>349</v>
      </c>
    </row>
    <row r="37" spans="1:7" x14ac:dyDescent="0.2">
      <c r="A37" s="45"/>
      <c r="B37" s="45"/>
      <c r="C37" s="45"/>
      <c r="D37" s="45" t="s">
        <v>244</v>
      </c>
      <c r="E37" s="45"/>
      <c r="F37" s="45"/>
      <c r="G37" s="67">
        <f>ROUND(SUM(G33:G36),5)</f>
        <v>445.92</v>
      </c>
    </row>
    <row r="38" spans="1:7" x14ac:dyDescent="0.2">
      <c r="A38" s="45"/>
      <c r="B38" s="45"/>
      <c r="C38" s="45"/>
      <c r="D38" s="45" t="s">
        <v>245</v>
      </c>
      <c r="E38" s="45"/>
      <c r="F38" s="45"/>
      <c r="G38" s="67"/>
    </row>
    <row r="39" spans="1:7" x14ac:dyDescent="0.2">
      <c r="A39" s="45"/>
      <c r="B39" s="45"/>
      <c r="C39" s="45"/>
      <c r="D39" s="45"/>
      <c r="E39" s="45" t="s">
        <v>246</v>
      </c>
      <c r="F39" s="45"/>
      <c r="G39" s="67">
        <v>123.71</v>
      </c>
    </row>
    <row r="40" spans="1:7" ht="16" thickBot="1" x14ac:dyDescent="0.25">
      <c r="A40" s="45"/>
      <c r="B40" s="45"/>
      <c r="C40" s="45"/>
      <c r="D40" s="45"/>
      <c r="E40" s="45" t="s">
        <v>247</v>
      </c>
      <c r="F40" s="45"/>
      <c r="G40" s="71">
        <v>10799.81</v>
      </c>
    </row>
    <row r="41" spans="1:7" x14ac:dyDescent="0.2">
      <c r="A41" s="45"/>
      <c r="B41" s="45"/>
      <c r="C41" s="45"/>
      <c r="D41" s="45" t="s">
        <v>248</v>
      </c>
      <c r="E41" s="45"/>
      <c r="F41" s="45"/>
      <c r="G41" s="67">
        <f>ROUND(SUM(G38:G40),5)</f>
        <v>10923.52</v>
      </c>
    </row>
    <row r="42" spans="1:7" x14ac:dyDescent="0.2">
      <c r="A42" s="45"/>
      <c r="B42" s="45"/>
      <c r="C42" s="45"/>
      <c r="D42" s="45" t="s">
        <v>249</v>
      </c>
      <c r="E42" s="45"/>
      <c r="F42" s="45"/>
      <c r="G42" s="67"/>
    </row>
    <row r="43" spans="1:7" x14ac:dyDescent="0.2">
      <c r="A43" s="45"/>
      <c r="B43" s="45"/>
      <c r="C43" s="45"/>
      <c r="D43" s="45"/>
      <c r="E43" s="45" t="s">
        <v>250</v>
      </c>
      <c r="F43" s="45"/>
      <c r="G43" s="67">
        <v>8739.17</v>
      </c>
    </row>
    <row r="44" spans="1:7" ht="16" thickBot="1" x14ac:dyDescent="0.25">
      <c r="A44" s="45"/>
      <c r="B44" s="45"/>
      <c r="C44" s="45"/>
      <c r="D44" s="45"/>
      <c r="E44" s="45" t="s">
        <v>251</v>
      </c>
      <c r="F44" s="45"/>
      <c r="G44" s="71">
        <v>9136.75</v>
      </c>
    </row>
    <row r="45" spans="1:7" x14ac:dyDescent="0.2">
      <c r="A45" s="45"/>
      <c r="B45" s="45"/>
      <c r="C45" s="45"/>
      <c r="D45" s="45" t="s">
        <v>252</v>
      </c>
      <c r="E45" s="45"/>
      <c r="F45" s="45"/>
      <c r="G45" s="67">
        <f>ROUND(SUM(G42:G44),5)</f>
        <v>17875.919999999998</v>
      </c>
    </row>
    <row r="46" spans="1:7" ht="16" thickBot="1" x14ac:dyDescent="0.25">
      <c r="A46" s="45"/>
      <c r="B46" s="45"/>
      <c r="C46" s="45"/>
      <c r="D46" s="45" t="s">
        <v>253</v>
      </c>
      <c r="E46" s="45"/>
      <c r="F46" s="45"/>
      <c r="G46" s="68">
        <v>1768.69</v>
      </c>
    </row>
    <row r="47" spans="1:7" ht="16" thickBot="1" x14ac:dyDescent="0.25">
      <c r="A47" s="45"/>
      <c r="B47" s="45"/>
      <c r="C47" s="45" t="s">
        <v>254</v>
      </c>
      <c r="D47" s="45"/>
      <c r="E47" s="45"/>
      <c r="F47" s="45"/>
      <c r="G47" s="69">
        <f>ROUND(G32+G37+G41+SUM(G45:G46),5)</f>
        <v>31014.05</v>
      </c>
    </row>
    <row r="48" spans="1:7" x14ac:dyDescent="0.2">
      <c r="A48" s="45"/>
      <c r="B48" s="45" t="s">
        <v>255</v>
      </c>
      <c r="C48" s="45"/>
      <c r="D48" s="45"/>
      <c r="E48" s="45"/>
      <c r="F48" s="45"/>
      <c r="G48" s="67">
        <f>ROUND(G3+G25+G31+G47,5)</f>
        <v>1096979.92</v>
      </c>
    </row>
    <row r="49" spans="1:7" x14ac:dyDescent="0.2">
      <c r="A49" s="45"/>
      <c r="B49" s="45" t="s">
        <v>256</v>
      </c>
      <c r="C49" s="45"/>
      <c r="D49" s="45"/>
      <c r="E49" s="45"/>
      <c r="F49" s="45"/>
      <c r="G49" s="67"/>
    </row>
    <row r="50" spans="1:7" x14ac:dyDescent="0.2">
      <c r="A50" s="45"/>
      <c r="B50" s="45"/>
      <c r="C50" s="45" t="s">
        <v>257</v>
      </c>
      <c r="D50" s="45"/>
      <c r="E50" s="45"/>
      <c r="F50" s="45"/>
      <c r="G50" s="67">
        <v>40851.339999999997</v>
      </c>
    </row>
    <row r="51" spans="1:7" x14ac:dyDescent="0.2">
      <c r="A51" s="45"/>
      <c r="B51" s="45"/>
      <c r="C51" s="45" t="s">
        <v>258</v>
      </c>
      <c r="D51" s="45"/>
      <c r="E51" s="45"/>
      <c r="F51" s="45"/>
      <c r="G51" s="67">
        <v>106700</v>
      </c>
    </row>
    <row r="52" spans="1:7" x14ac:dyDescent="0.2">
      <c r="A52" s="45"/>
      <c r="B52" s="45"/>
      <c r="C52" s="45" t="s">
        <v>259</v>
      </c>
      <c r="D52" s="45"/>
      <c r="E52" s="45"/>
      <c r="F52" s="45"/>
      <c r="G52" s="67">
        <v>417202.5</v>
      </c>
    </row>
    <row r="53" spans="1:7" x14ac:dyDescent="0.2">
      <c r="A53" s="45"/>
      <c r="B53" s="45"/>
      <c r="C53" s="45" t="s">
        <v>260</v>
      </c>
      <c r="D53" s="45"/>
      <c r="E53" s="45"/>
      <c r="F53" s="45"/>
      <c r="G53" s="67">
        <v>1688678.63</v>
      </c>
    </row>
    <row r="54" spans="1:7" x14ac:dyDescent="0.2">
      <c r="A54" s="45"/>
      <c r="B54" s="45"/>
      <c r="C54" s="45" t="s">
        <v>261</v>
      </c>
      <c r="D54" s="45"/>
      <c r="E54" s="45"/>
      <c r="F54" s="45"/>
      <c r="G54" s="67">
        <v>146386.5</v>
      </c>
    </row>
    <row r="55" spans="1:7" x14ac:dyDescent="0.2">
      <c r="A55" s="45"/>
      <c r="B55" s="45"/>
      <c r="C55" s="45" t="s">
        <v>262</v>
      </c>
      <c r="D55" s="45"/>
      <c r="E55" s="45"/>
      <c r="F55" s="45"/>
      <c r="G55" s="67">
        <v>21167.29</v>
      </c>
    </row>
    <row r="56" spans="1:7" ht="16" thickBot="1" x14ac:dyDescent="0.25">
      <c r="A56" s="45"/>
      <c r="B56" s="45"/>
      <c r="C56" s="45" t="s">
        <v>263</v>
      </c>
      <c r="D56" s="45"/>
      <c r="E56" s="45"/>
      <c r="F56" s="45"/>
      <c r="G56" s="68">
        <v>-1018400.46</v>
      </c>
    </row>
    <row r="57" spans="1:7" ht="16" thickBot="1" x14ac:dyDescent="0.25">
      <c r="A57" s="45"/>
      <c r="B57" s="45" t="s">
        <v>264</v>
      </c>
      <c r="C57" s="45"/>
      <c r="D57" s="45"/>
      <c r="E57" s="45"/>
      <c r="F57" s="45"/>
      <c r="G57" s="70">
        <f>ROUND(SUM(G49:G56),5)</f>
        <v>1402585.8</v>
      </c>
    </row>
    <row r="58" spans="1:7" s="48" customFormat="1" ht="14" thickBot="1" x14ac:dyDescent="0.2">
      <c r="A58" s="45" t="s">
        <v>265</v>
      </c>
      <c r="B58" s="45"/>
      <c r="C58" s="45"/>
      <c r="D58" s="45"/>
      <c r="E58" s="45"/>
      <c r="F58" s="45"/>
      <c r="G58" s="72">
        <f>ROUND(G2+G48+G57,5)</f>
        <v>2499565.7200000002</v>
      </c>
    </row>
    <row r="59" spans="1:7" ht="16" thickTop="1" x14ac:dyDescent="0.2">
      <c r="A59" s="45" t="s">
        <v>266</v>
      </c>
      <c r="B59" s="45"/>
      <c r="C59" s="45"/>
      <c r="D59" s="45"/>
      <c r="E59" s="45"/>
      <c r="F59" s="45"/>
      <c r="G59" s="67"/>
    </row>
    <row r="60" spans="1:7" x14ac:dyDescent="0.2">
      <c r="A60" s="45"/>
      <c r="B60" s="45" t="s">
        <v>267</v>
      </c>
      <c r="C60" s="45"/>
      <c r="D60" s="45"/>
      <c r="E60" s="45"/>
      <c r="F60" s="45"/>
      <c r="G60" s="67"/>
    </row>
    <row r="61" spans="1:7" x14ac:dyDescent="0.2">
      <c r="A61" s="45"/>
      <c r="B61" s="45"/>
      <c r="C61" s="45" t="s">
        <v>268</v>
      </c>
      <c r="D61" s="45"/>
      <c r="E61" s="45"/>
      <c r="F61" s="45"/>
      <c r="G61" s="67"/>
    </row>
    <row r="62" spans="1:7" x14ac:dyDescent="0.2">
      <c r="A62" s="45"/>
      <c r="B62" s="45"/>
      <c r="C62" s="45"/>
      <c r="D62" s="45" t="s">
        <v>269</v>
      </c>
      <c r="E62" s="45"/>
      <c r="F62" s="45"/>
      <c r="G62" s="67"/>
    </row>
    <row r="63" spans="1:7" ht="16" thickBot="1" x14ac:dyDescent="0.25">
      <c r="A63" s="45"/>
      <c r="B63" s="45"/>
      <c r="C63" s="45"/>
      <c r="D63" s="45"/>
      <c r="E63" s="45" t="s">
        <v>270</v>
      </c>
      <c r="F63" s="45"/>
      <c r="G63" s="71">
        <v>12951.5</v>
      </c>
    </row>
    <row r="64" spans="1:7" x14ac:dyDescent="0.2">
      <c r="A64" s="45"/>
      <c r="B64" s="45"/>
      <c r="C64" s="45"/>
      <c r="D64" s="45" t="s">
        <v>271</v>
      </c>
      <c r="E64" s="45"/>
      <c r="F64" s="45"/>
      <c r="G64" s="67">
        <f>ROUND(SUM(G62:G63),5)</f>
        <v>12951.5</v>
      </c>
    </row>
    <row r="65" spans="1:7" x14ac:dyDescent="0.2">
      <c r="A65" s="45"/>
      <c r="B65" s="45"/>
      <c r="C65" s="45"/>
      <c r="D65" s="45" t="s">
        <v>272</v>
      </c>
      <c r="E65" s="45"/>
      <c r="F65" s="45"/>
      <c r="G65" s="67"/>
    </row>
    <row r="66" spans="1:7" x14ac:dyDescent="0.2">
      <c r="A66" s="45"/>
      <c r="B66" s="45"/>
      <c r="C66" s="45"/>
      <c r="D66" s="45"/>
      <c r="E66" s="45" t="s">
        <v>273</v>
      </c>
      <c r="F66" s="45"/>
      <c r="G66" s="67">
        <v>622.79</v>
      </c>
    </row>
    <row r="67" spans="1:7" x14ac:dyDescent="0.2">
      <c r="A67" s="45"/>
      <c r="B67" s="45"/>
      <c r="C67" s="45"/>
      <c r="D67" s="45"/>
      <c r="E67" s="45" t="s">
        <v>274</v>
      </c>
      <c r="F67" s="45"/>
      <c r="G67" s="67">
        <v>314</v>
      </c>
    </row>
    <row r="68" spans="1:7" ht="16" thickBot="1" x14ac:dyDescent="0.25">
      <c r="A68" s="45"/>
      <c r="B68" s="45"/>
      <c r="C68" s="45"/>
      <c r="D68" s="45"/>
      <c r="E68" s="45" t="s">
        <v>275</v>
      </c>
      <c r="F68" s="45"/>
      <c r="G68" s="71">
        <v>7.77</v>
      </c>
    </row>
    <row r="69" spans="1:7" x14ac:dyDescent="0.2">
      <c r="A69" s="45"/>
      <c r="B69" s="45"/>
      <c r="C69" s="45"/>
      <c r="D69" s="45" t="s">
        <v>276</v>
      </c>
      <c r="E69" s="45"/>
      <c r="F69" s="45"/>
      <c r="G69" s="67">
        <f>ROUND(SUM(G65:G68),5)</f>
        <v>944.56</v>
      </c>
    </row>
    <row r="70" spans="1:7" x14ac:dyDescent="0.2">
      <c r="A70" s="45"/>
      <c r="B70" s="45"/>
      <c r="C70" s="45"/>
      <c r="D70" s="45" t="s">
        <v>277</v>
      </c>
      <c r="E70" s="45"/>
      <c r="F70" s="45"/>
      <c r="G70" s="67"/>
    </row>
    <row r="71" spans="1:7" x14ac:dyDescent="0.2">
      <c r="A71" s="45"/>
      <c r="B71" s="45"/>
      <c r="C71" s="45"/>
      <c r="D71" s="45"/>
      <c r="E71" s="45" t="s">
        <v>278</v>
      </c>
      <c r="F71" s="45"/>
      <c r="G71" s="67"/>
    </row>
    <row r="72" spans="1:7" ht="16" thickBot="1" x14ac:dyDescent="0.25">
      <c r="A72" s="45"/>
      <c r="B72" s="45"/>
      <c r="C72" s="45"/>
      <c r="D72" s="45"/>
      <c r="E72" s="45"/>
      <c r="F72" s="45" t="s">
        <v>279</v>
      </c>
      <c r="G72" s="71">
        <v>-588.58000000000004</v>
      </c>
    </row>
    <row r="73" spans="1:7" x14ac:dyDescent="0.2">
      <c r="A73" s="45"/>
      <c r="B73" s="45"/>
      <c r="C73" s="45"/>
      <c r="D73" s="45"/>
      <c r="E73" s="45" t="s">
        <v>280</v>
      </c>
      <c r="F73" s="45"/>
      <c r="G73" s="67">
        <f>ROUND(SUM(G71:G72),5)</f>
        <v>-588.58000000000004</v>
      </c>
    </row>
    <row r="74" spans="1:7" x14ac:dyDescent="0.2">
      <c r="A74" s="45"/>
      <c r="B74" s="45"/>
      <c r="C74" s="45"/>
      <c r="D74" s="45"/>
      <c r="E74" s="45" t="s">
        <v>281</v>
      </c>
      <c r="F74" s="45"/>
      <c r="G74" s="67">
        <v>36800.9</v>
      </c>
    </row>
    <row r="75" spans="1:7" x14ac:dyDescent="0.2">
      <c r="A75" s="45"/>
      <c r="B75" s="45"/>
      <c r="C75" s="45"/>
      <c r="D75" s="45"/>
      <c r="E75" s="45" t="s">
        <v>282</v>
      </c>
      <c r="F75" s="45"/>
      <c r="G75" s="67">
        <v>5244.52</v>
      </c>
    </row>
    <row r="76" spans="1:7" x14ac:dyDescent="0.2">
      <c r="A76" s="45"/>
      <c r="B76" s="45"/>
      <c r="C76" s="45"/>
      <c r="D76" s="45"/>
      <c r="E76" s="45" t="s">
        <v>283</v>
      </c>
      <c r="F76" s="45"/>
      <c r="G76" s="67">
        <v>22216.62</v>
      </c>
    </row>
    <row r="77" spans="1:7" x14ac:dyDescent="0.2">
      <c r="A77" s="45"/>
      <c r="B77" s="45"/>
      <c r="C77" s="45"/>
      <c r="D77" s="45"/>
      <c r="E77" s="45" t="s">
        <v>284</v>
      </c>
      <c r="F77" s="45"/>
      <c r="G77" s="67">
        <v>16476.2</v>
      </c>
    </row>
    <row r="78" spans="1:7" x14ac:dyDescent="0.2">
      <c r="A78" s="45"/>
      <c r="B78" s="45"/>
      <c r="C78" s="45"/>
      <c r="D78" s="45"/>
      <c r="E78" s="45" t="s">
        <v>285</v>
      </c>
      <c r="F78" s="45"/>
      <c r="G78" s="67">
        <v>385</v>
      </c>
    </row>
    <row r="79" spans="1:7" ht="16" thickBot="1" x14ac:dyDescent="0.25">
      <c r="A79" s="45"/>
      <c r="B79" s="45"/>
      <c r="C79" s="45"/>
      <c r="D79" s="45"/>
      <c r="E79" s="45" t="s">
        <v>286</v>
      </c>
      <c r="F79" s="45"/>
      <c r="G79" s="68">
        <v>3586.68</v>
      </c>
    </row>
    <row r="80" spans="1:7" ht="16" thickBot="1" x14ac:dyDescent="0.25">
      <c r="A80" s="45"/>
      <c r="B80" s="45"/>
      <c r="C80" s="45"/>
      <c r="D80" s="45" t="s">
        <v>287</v>
      </c>
      <c r="E80" s="45"/>
      <c r="F80" s="45"/>
      <c r="G80" s="69">
        <f>ROUND(G70+SUM(G73:G79),5)</f>
        <v>84121.34</v>
      </c>
    </row>
    <row r="81" spans="1:7" x14ac:dyDescent="0.2">
      <c r="A81" s="45"/>
      <c r="B81" s="45"/>
      <c r="C81" s="45" t="s">
        <v>288</v>
      </c>
      <c r="D81" s="45"/>
      <c r="E81" s="45"/>
      <c r="F81" s="45"/>
      <c r="G81" s="67">
        <f>ROUND(G61+G64+G69+G80,5)</f>
        <v>98017.4</v>
      </c>
    </row>
    <row r="82" spans="1:7" x14ac:dyDescent="0.2">
      <c r="A82" s="45"/>
      <c r="B82" s="45"/>
      <c r="C82" s="45" t="s">
        <v>289</v>
      </c>
      <c r="D82" s="45"/>
      <c r="E82" s="45"/>
      <c r="F82" s="45"/>
      <c r="G82" s="67"/>
    </row>
    <row r="83" spans="1:7" ht="16" thickBot="1" x14ac:dyDescent="0.25">
      <c r="A83" s="45"/>
      <c r="B83" s="45"/>
      <c r="C83" s="45"/>
      <c r="D83" s="45" t="s">
        <v>290</v>
      </c>
      <c r="E83" s="45"/>
      <c r="F83" s="45"/>
      <c r="G83" s="68">
        <v>315223.32</v>
      </c>
    </row>
    <row r="84" spans="1:7" ht="16" thickBot="1" x14ac:dyDescent="0.25">
      <c r="A84" s="45"/>
      <c r="B84" s="45"/>
      <c r="C84" s="45" t="s">
        <v>291</v>
      </c>
      <c r="D84" s="45"/>
      <c r="E84" s="45"/>
      <c r="F84" s="45"/>
      <c r="G84" s="69">
        <f>ROUND(SUM(G82:G83),5)</f>
        <v>315223.32</v>
      </c>
    </row>
    <row r="85" spans="1:7" x14ac:dyDescent="0.2">
      <c r="A85" s="45"/>
      <c r="B85" s="45" t="s">
        <v>292</v>
      </c>
      <c r="C85" s="45"/>
      <c r="D85" s="45"/>
      <c r="E85" s="45"/>
      <c r="F85" s="45"/>
      <c r="G85" s="67">
        <f>ROUND(G60+G81+G84,5)</f>
        <v>413240.72</v>
      </c>
    </row>
    <row r="86" spans="1:7" x14ac:dyDescent="0.2">
      <c r="A86" s="45"/>
      <c r="B86" s="45" t="s">
        <v>293</v>
      </c>
      <c r="C86" s="45"/>
      <c r="D86" s="45"/>
      <c r="E86" s="45"/>
      <c r="F86" s="45"/>
      <c r="G86" s="67"/>
    </row>
    <row r="87" spans="1:7" x14ac:dyDescent="0.2">
      <c r="A87" s="45"/>
      <c r="B87" s="45"/>
      <c r="C87" s="45" t="s">
        <v>294</v>
      </c>
      <c r="D87" s="45"/>
      <c r="E87" s="45"/>
      <c r="F87" s="45"/>
      <c r="G87" s="67">
        <v>322.02</v>
      </c>
    </row>
    <row r="88" spans="1:7" x14ac:dyDescent="0.2">
      <c r="A88" s="45"/>
      <c r="B88" s="45"/>
      <c r="C88" s="45" t="s">
        <v>295</v>
      </c>
      <c r="D88" s="45"/>
      <c r="E88" s="45"/>
      <c r="F88" s="45"/>
      <c r="G88" s="67">
        <v>-182270.14</v>
      </c>
    </row>
    <row r="89" spans="1:7" x14ac:dyDescent="0.2">
      <c r="A89" s="45"/>
      <c r="B89" s="45"/>
      <c r="C89" s="45" t="s">
        <v>296</v>
      </c>
      <c r="D89" s="45"/>
      <c r="E89" s="45"/>
      <c r="F89" s="45"/>
      <c r="G89" s="67">
        <v>1346796.95</v>
      </c>
    </row>
    <row r="90" spans="1:7" x14ac:dyDescent="0.2">
      <c r="A90" s="45"/>
      <c r="B90" s="45"/>
      <c r="C90" s="45" t="s">
        <v>297</v>
      </c>
      <c r="D90" s="45"/>
      <c r="E90" s="45"/>
      <c r="F90" s="45"/>
      <c r="G90" s="67">
        <v>142152</v>
      </c>
    </row>
    <row r="91" spans="1:7" x14ac:dyDescent="0.2">
      <c r="A91" s="45"/>
      <c r="B91" s="45"/>
      <c r="C91" s="45" t="s">
        <v>298</v>
      </c>
      <c r="D91" s="45"/>
      <c r="E91" s="45"/>
      <c r="F91" s="45"/>
      <c r="G91" s="67">
        <v>218312.73</v>
      </c>
    </row>
    <row r="92" spans="1:7" x14ac:dyDescent="0.2">
      <c r="A92" s="45"/>
      <c r="B92" s="45"/>
      <c r="C92" s="45" t="s">
        <v>299</v>
      </c>
      <c r="D92" s="45"/>
      <c r="E92" s="45"/>
      <c r="F92" s="45"/>
      <c r="G92" s="67">
        <v>179325</v>
      </c>
    </row>
    <row r="93" spans="1:7" ht="16" thickBot="1" x14ac:dyDescent="0.25">
      <c r="A93" s="45"/>
      <c r="B93" s="45"/>
      <c r="C93" s="45" t="s">
        <v>196</v>
      </c>
      <c r="D93" s="45"/>
      <c r="E93" s="45"/>
      <c r="F93" s="45"/>
      <c r="G93" s="68">
        <v>381686.44</v>
      </c>
    </row>
    <row r="94" spans="1:7" ht="16" thickBot="1" x14ac:dyDescent="0.25">
      <c r="A94" s="45"/>
      <c r="B94" s="45" t="s">
        <v>300</v>
      </c>
      <c r="C94" s="45"/>
      <c r="D94" s="45"/>
      <c r="E94" s="45"/>
      <c r="F94" s="45"/>
      <c r="G94" s="70">
        <f>ROUND(SUM(G86:G93),5)</f>
        <v>2086325</v>
      </c>
    </row>
    <row r="95" spans="1:7" s="48" customFormat="1" ht="14" thickBot="1" x14ac:dyDescent="0.2">
      <c r="A95" s="45" t="s">
        <v>301</v>
      </c>
      <c r="B95" s="45"/>
      <c r="C95" s="45"/>
      <c r="D95" s="45"/>
      <c r="E95" s="45"/>
      <c r="F95" s="45"/>
      <c r="G95" s="72">
        <f>ROUND(G59+G85+G94,5)</f>
        <v>2499565.7200000002</v>
      </c>
    </row>
    <row r="96" spans="1:7" ht="16" thickTop="1" x14ac:dyDescent="0.2"/>
  </sheetData>
  <pageMargins left="0.7" right="0.7" top="1.0416666666666701" bottom="0.5" header="0.1" footer="0.3"/>
  <pageSetup scale="95" orientation="portrait" r:id="rId1"/>
  <headerFooter>
    <oddHeader>&amp;L&amp;"Arial,Bold"&amp;8 1:47 PM
&amp;"Helvetica,Regular"&amp;10 06/11/19
&amp;"Arial,Bold"&amp;8 Accrual Basis&amp;C&amp;"Helvetica,Regular"&amp;14 Textile Center of Minnesota
&amp;"Helvetica,Regular"&amp;18 Balance Sheet
&amp;"Helvetica,Regular"&amp;12 As of May 31, 2019</oddHeader>
    <oddFooter>&amp;R&amp;"Helvetica,Regular"&amp;10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48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J2" sqref="J2"/>
    </sheetView>
  </sheetViews>
  <sheetFormatPr baseColWidth="10" defaultColWidth="9.1640625" defaultRowHeight="15" x14ac:dyDescent="0.2"/>
  <cols>
    <col min="1" max="4" width="1.6640625" style="91" customWidth="1"/>
    <col min="5" max="5" width="32.5" style="91" customWidth="1"/>
    <col min="6" max="6" width="10.6640625" style="92" bestFit="1" customWidth="1"/>
    <col min="7" max="7" width="2" style="92" customWidth="1"/>
    <col min="8" max="8" width="11.33203125" style="92" bestFit="1" customWidth="1"/>
    <col min="9" max="9" width="2" style="92" customWidth="1"/>
    <col min="10" max="10" width="9.1640625" style="92" bestFit="1" customWidth="1"/>
    <col min="11" max="11" width="2" style="92" customWidth="1"/>
    <col min="12" max="12" width="10.5" style="92" bestFit="1" customWidth="1"/>
    <col min="13" max="13" width="2" style="92" customWidth="1"/>
    <col min="14" max="14" width="11" style="92" bestFit="1" customWidth="1"/>
    <col min="15" max="15" width="2" style="92" customWidth="1"/>
    <col min="16" max="16" width="8.83203125" style="92" bestFit="1" customWidth="1"/>
    <col min="17" max="17" width="2" style="92" customWidth="1"/>
    <col min="18" max="18" width="13.33203125" style="92" customWidth="1"/>
    <col min="19" max="19" width="2" style="52" customWidth="1"/>
    <col min="20" max="20" width="11" style="52" bestFit="1" customWidth="1"/>
    <col min="21" max="21" width="2.33203125" style="52" customWidth="1"/>
    <col min="22" max="22" width="10.1640625" style="52" bestFit="1" customWidth="1"/>
    <col min="23" max="23" width="1.6640625" style="52" customWidth="1"/>
    <col min="24" max="24" width="12.6640625" style="52" customWidth="1"/>
    <col min="25" max="25" width="3.6640625" style="52" customWidth="1"/>
    <col min="26" max="16384" width="9.1640625" style="52"/>
  </cols>
  <sheetData>
    <row r="1" spans="1:24" ht="15" customHeight="1" thickBot="1" x14ac:dyDescent="0.25">
      <c r="A1" s="64"/>
      <c r="B1" s="64"/>
      <c r="C1" s="64"/>
      <c r="D1" s="64"/>
      <c r="E1" s="64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T1" s="53">
        <f>2/12</f>
        <v>0.16666666666666666</v>
      </c>
      <c r="U1" s="51"/>
      <c r="V1" s="51"/>
      <c r="W1" s="51"/>
      <c r="X1" s="51"/>
    </row>
    <row r="2" spans="1:24" s="76" customFormat="1" ht="32" customHeight="1" thickBot="1" x14ac:dyDescent="0.25">
      <c r="A2" s="75"/>
      <c r="B2" s="75"/>
      <c r="C2" s="75"/>
      <c r="D2" s="75"/>
      <c r="E2" s="75"/>
      <c r="F2" s="54" t="s">
        <v>200</v>
      </c>
      <c r="G2" s="55"/>
      <c r="H2" s="56" t="s">
        <v>201</v>
      </c>
      <c r="I2" s="55"/>
      <c r="J2" s="57" t="s">
        <v>302</v>
      </c>
      <c r="K2" s="58"/>
      <c r="L2" s="54" t="s">
        <v>197</v>
      </c>
      <c r="M2" s="55"/>
      <c r="N2" s="56" t="s">
        <v>49</v>
      </c>
      <c r="O2" s="55"/>
      <c r="P2" s="57" t="s">
        <v>48</v>
      </c>
      <c r="Q2" s="58"/>
      <c r="R2" s="54" t="s">
        <v>50</v>
      </c>
      <c r="S2" s="59"/>
      <c r="T2" s="57" t="s">
        <v>199</v>
      </c>
      <c r="U2" s="58"/>
      <c r="V2" s="62" t="s">
        <v>205</v>
      </c>
      <c r="W2" s="55"/>
      <c r="X2" s="63" t="s">
        <v>206</v>
      </c>
    </row>
    <row r="3" spans="1:24" ht="15" customHeight="1" x14ac:dyDescent="0.2">
      <c r="A3" s="64"/>
      <c r="B3" s="64" t="s">
        <v>51</v>
      </c>
      <c r="C3" s="64"/>
      <c r="D3" s="64"/>
      <c r="E3" s="64"/>
      <c r="F3" s="77"/>
      <c r="G3" s="64"/>
      <c r="H3" s="77"/>
      <c r="I3" s="64"/>
      <c r="J3" s="78"/>
      <c r="K3" s="64"/>
      <c r="L3" s="77"/>
      <c r="M3" s="64"/>
      <c r="N3" s="77"/>
      <c r="O3" s="64"/>
      <c r="P3" s="78"/>
      <c r="Q3" s="64"/>
      <c r="R3" s="77"/>
    </row>
    <row r="4" spans="1:24" ht="15" customHeight="1" x14ac:dyDescent="0.2">
      <c r="A4" s="64"/>
      <c r="B4" s="64"/>
      <c r="C4" s="64"/>
      <c r="D4" s="64" t="s">
        <v>52</v>
      </c>
      <c r="E4" s="64"/>
      <c r="F4" s="77"/>
      <c r="G4" s="64"/>
      <c r="H4" s="77"/>
      <c r="I4" s="64"/>
      <c r="J4" s="78"/>
      <c r="K4" s="64"/>
      <c r="L4" s="77"/>
      <c r="M4" s="64"/>
      <c r="N4" s="77"/>
      <c r="O4" s="64"/>
      <c r="P4" s="78"/>
      <c r="Q4" s="64"/>
      <c r="R4" s="77"/>
    </row>
    <row r="5" spans="1:24" ht="15" customHeight="1" x14ac:dyDescent="0.2">
      <c r="A5" s="64"/>
      <c r="B5" s="64"/>
      <c r="C5" s="64"/>
      <c r="D5" s="64"/>
      <c r="E5" s="64" t="s">
        <v>53</v>
      </c>
      <c r="F5" s="77">
        <f>389047-F6</f>
        <v>119047</v>
      </c>
      <c r="G5" s="64"/>
      <c r="H5" s="77">
        <f>154510-H7</f>
        <v>112510</v>
      </c>
      <c r="I5" s="64"/>
      <c r="J5" s="78">
        <f t="shared" ref="J5:J15" si="0">ROUND(IF(H5=0, IF(F5=0, 0, 1), F5/H5),5)</f>
        <v>1.0581</v>
      </c>
      <c r="K5" s="64"/>
      <c r="L5" s="77">
        <f>389973-L6</f>
        <v>119973</v>
      </c>
      <c r="M5" s="64"/>
      <c r="N5" s="77">
        <f>154520-N7</f>
        <v>112520</v>
      </c>
      <c r="O5" s="64"/>
      <c r="P5" s="78">
        <f t="shared" ref="P5:P15" si="1">ROUND(IF(N5=0, IF(L5=0, 0, 1), L5/N5),5)</f>
        <v>1.0662400000000001</v>
      </c>
      <c r="Q5" s="64"/>
      <c r="R5" s="77">
        <f>458610-R7</f>
        <v>309610</v>
      </c>
      <c r="T5" s="78">
        <f t="shared" ref="T5:T43" si="2">ROUND(IF(R5=0, IF(L5=0, 0, 1), L5/R5),5)</f>
        <v>0.38750000000000001</v>
      </c>
      <c r="V5" s="77">
        <v>42.91</v>
      </c>
      <c r="X5" s="78">
        <f t="shared" ref="X5:X43" si="3">ROUND(IF(V5=0, IF(L5=0, 0, 1), L5/V5),5)</f>
        <v>2795.9216999999999</v>
      </c>
    </row>
    <row r="6" spans="1:24" ht="15" customHeight="1" x14ac:dyDescent="0.2">
      <c r="A6" s="64"/>
      <c r="B6" s="64"/>
      <c r="C6" s="64"/>
      <c r="D6" s="64"/>
      <c r="E6" s="64" t="s">
        <v>207</v>
      </c>
      <c r="F6" s="77">
        <v>270000</v>
      </c>
      <c r="G6" s="64"/>
      <c r="H6" s="77">
        <v>0</v>
      </c>
      <c r="I6" s="64"/>
      <c r="J6" s="78">
        <f t="shared" si="0"/>
        <v>1</v>
      </c>
      <c r="K6" s="64"/>
      <c r="L6" s="77">
        <v>270000</v>
      </c>
      <c r="M6" s="64"/>
      <c r="N6" s="77">
        <v>0</v>
      </c>
      <c r="O6" s="64"/>
      <c r="P6" s="78">
        <f t="shared" si="1"/>
        <v>1</v>
      </c>
      <c r="Q6" s="64"/>
      <c r="R6" s="77">
        <v>0</v>
      </c>
      <c r="T6" s="78">
        <f t="shared" ref="T6:T7" si="4">ROUND(IF(R6=0, IF(L6=0, 0, 1), L6/R6),5)</f>
        <v>1</v>
      </c>
      <c r="V6" s="77">
        <v>0</v>
      </c>
      <c r="X6" s="78">
        <f t="shared" ref="X6:X7" si="5">ROUND(IF(V6=0, IF(L6=0, 0, 1), L6/V6),5)</f>
        <v>1</v>
      </c>
    </row>
    <row r="7" spans="1:24" ht="15" customHeight="1" x14ac:dyDescent="0.2">
      <c r="A7" s="64"/>
      <c r="B7" s="64"/>
      <c r="C7" s="64"/>
      <c r="D7" s="64"/>
      <c r="E7" s="64" t="s">
        <v>58</v>
      </c>
      <c r="F7" s="77">
        <f>4000+4000</f>
        <v>8000</v>
      </c>
      <c r="G7" s="64"/>
      <c r="H7" s="77">
        <v>42000</v>
      </c>
      <c r="I7" s="64"/>
      <c r="J7" s="78">
        <f t="shared" si="0"/>
        <v>0.19048000000000001</v>
      </c>
      <c r="K7" s="64"/>
      <c r="L7" s="77">
        <f>4000+4000</f>
        <v>8000</v>
      </c>
      <c r="M7" s="64"/>
      <c r="N7" s="77">
        <v>42000</v>
      </c>
      <c r="O7" s="64"/>
      <c r="P7" s="78">
        <f t="shared" si="1"/>
        <v>0.19048000000000001</v>
      </c>
      <c r="Q7" s="64"/>
      <c r="R7" s="77">
        <v>149000</v>
      </c>
      <c r="T7" s="78">
        <f t="shared" si="4"/>
        <v>5.3690000000000002E-2</v>
      </c>
      <c r="V7" s="77">
        <v>0</v>
      </c>
      <c r="X7" s="78">
        <f t="shared" si="5"/>
        <v>1</v>
      </c>
    </row>
    <row r="8" spans="1:24" ht="15" customHeight="1" x14ac:dyDescent="0.2">
      <c r="A8" s="64"/>
      <c r="B8" s="64"/>
      <c r="C8" s="64"/>
      <c r="D8" s="64"/>
      <c r="E8" s="64" t="s">
        <v>60</v>
      </c>
      <c r="F8" s="77">
        <v>16543</v>
      </c>
      <c r="G8" s="64"/>
      <c r="H8" s="77">
        <v>21300</v>
      </c>
      <c r="I8" s="64"/>
      <c r="J8" s="78">
        <f t="shared" si="0"/>
        <v>0.77666999999999997</v>
      </c>
      <c r="K8" s="64"/>
      <c r="L8" s="77">
        <v>20698</v>
      </c>
      <c r="M8" s="64"/>
      <c r="N8" s="77">
        <v>22375</v>
      </c>
      <c r="O8" s="64"/>
      <c r="P8" s="78">
        <f t="shared" si="1"/>
        <v>0.92505000000000004</v>
      </c>
      <c r="Q8" s="64"/>
      <c r="R8" s="77">
        <v>147750</v>
      </c>
      <c r="T8" s="78">
        <f t="shared" si="2"/>
        <v>0.14008999999999999</v>
      </c>
      <c r="V8" s="77">
        <v>23891.14</v>
      </c>
      <c r="X8" s="78">
        <f t="shared" si="3"/>
        <v>0.86634999999999995</v>
      </c>
    </row>
    <row r="9" spans="1:24" ht="15" customHeight="1" x14ac:dyDescent="0.2">
      <c r="A9" s="64"/>
      <c r="B9" s="64"/>
      <c r="C9" s="64"/>
      <c r="D9" s="64"/>
      <c r="E9" s="64" t="s">
        <v>67</v>
      </c>
      <c r="F9" s="77">
        <v>3955</v>
      </c>
      <c r="G9" s="64"/>
      <c r="H9" s="77">
        <v>5185</v>
      </c>
      <c r="I9" s="64"/>
      <c r="J9" s="78">
        <f t="shared" si="0"/>
        <v>0.76278000000000001</v>
      </c>
      <c r="K9" s="64"/>
      <c r="L9" s="77">
        <v>8960</v>
      </c>
      <c r="M9" s="64"/>
      <c r="N9" s="77">
        <v>9145</v>
      </c>
      <c r="O9" s="64"/>
      <c r="P9" s="78">
        <f t="shared" si="1"/>
        <v>0.97977000000000003</v>
      </c>
      <c r="Q9" s="64"/>
      <c r="R9" s="77">
        <v>57010</v>
      </c>
      <c r="T9" s="78">
        <f t="shared" si="2"/>
        <v>0.15717</v>
      </c>
      <c r="V9" s="77">
        <v>7610</v>
      </c>
      <c r="X9" s="78">
        <f t="shared" si="3"/>
        <v>1.1774</v>
      </c>
    </row>
    <row r="10" spans="1:24" ht="15" customHeight="1" x14ac:dyDescent="0.2">
      <c r="A10" s="64"/>
      <c r="B10" s="64"/>
      <c r="C10" s="64"/>
      <c r="D10" s="64"/>
      <c r="E10" s="64" t="s">
        <v>72</v>
      </c>
      <c r="F10" s="77">
        <v>5780</v>
      </c>
      <c r="G10" s="64"/>
      <c r="H10" s="77">
        <v>6320</v>
      </c>
      <c r="I10" s="64"/>
      <c r="J10" s="78">
        <f t="shared" si="0"/>
        <v>0.91456000000000004</v>
      </c>
      <c r="K10" s="64"/>
      <c r="L10" s="77">
        <v>12041</v>
      </c>
      <c r="M10" s="64"/>
      <c r="N10" s="77">
        <v>13600</v>
      </c>
      <c r="O10" s="64"/>
      <c r="P10" s="78">
        <f t="shared" si="1"/>
        <v>0.88536999999999999</v>
      </c>
      <c r="Q10" s="64"/>
      <c r="R10" s="77">
        <v>80190</v>
      </c>
      <c r="T10" s="78">
        <f t="shared" si="2"/>
        <v>0.15015999999999999</v>
      </c>
      <c r="V10" s="77">
        <v>15345.4</v>
      </c>
      <c r="X10" s="78">
        <f t="shared" si="3"/>
        <v>0.78466999999999998</v>
      </c>
    </row>
    <row r="11" spans="1:24" ht="15" customHeight="1" x14ac:dyDescent="0.2">
      <c r="A11" s="64"/>
      <c r="B11" s="64"/>
      <c r="C11" s="64"/>
      <c r="D11" s="64"/>
      <c r="E11" s="64" t="s">
        <v>79</v>
      </c>
      <c r="F11" s="77">
        <v>19659</v>
      </c>
      <c r="G11" s="64"/>
      <c r="H11" s="77">
        <v>25625</v>
      </c>
      <c r="I11" s="64"/>
      <c r="J11" s="78">
        <f t="shared" si="0"/>
        <v>0.76717999999999997</v>
      </c>
      <c r="K11" s="64"/>
      <c r="L11" s="77">
        <v>58234</v>
      </c>
      <c r="M11" s="64"/>
      <c r="N11" s="77">
        <v>60200</v>
      </c>
      <c r="O11" s="64"/>
      <c r="P11" s="78">
        <f t="shared" si="1"/>
        <v>0.96733999999999998</v>
      </c>
      <c r="Q11" s="64"/>
      <c r="R11" s="77">
        <v>221490</v>
      </c>
      <c r="T11" s="78">
        <f t="shared" si="2"/>
        <v>0.26291999999999999</v>
      </c>
      <c r="V11" s="77">
        <v>54508.63</v>
      </c>
      <c r="X11" s="78">
        <f t="shared" si="3"/>
        <v>1.0683400000000001</v>
      </c>
    </row>
    <row r="12" spans="1:24" ht="15" customHeight="1" x14ac:dyDescent="0.2">
      <c r="A12" s="64"/>
      <c r="B12" s="64"/>
      <c r="C12" s="64"/>
      <c r="D12" s="64"/>
      <c r="E12" s="64" t="s">
        <v>93</v>
      </c>
      <c r="F12" s="77">
        <v>128</v>
      </c>
      <c r="G12" s="64"/>
      <c r="H12" s="77">
        <v>0</v>
      </c>
      <c r="I12" s="64"/>
      <c r="J12" s="78">
        <f t="shared" si="0"/>
        <v>1</v>
      </c>
      <c r="K12" s="64"/>
      <c r="L12" s="77">
        <v>52952</v>
      </c>
      <c r="M12" s="64"/>
      <c r="N12" s="77">
        <v>82000</v>
      </c>
      <c r="O12" s="64"/>
      <c r="P12" s="78">
        <f t="shared" si="1"/>
        <v>0.64576</v>
      </c>
      <c r="Q12" s="64"/>
      <c r="R12" s="77">
        <v>129950</v>
      </c>
      <c r="T12" s="78">
        <f t="shared" si="2"/>
        <v>0.40748000000000001</v>
      </c>
      <c r="V12" s="77">
        <v>85728.9</v>
      </c>
      <c r="X12" s="78">
        <f t="shared" si="3"/>
        <v>0.61767000000000005</v>
      </c>
    </row>
    <row r="13" spans="1:24" ht="15" customHeight="1" x14ac:dyDescent="0.2">
      <c r="A13" s="64"/>
      <c r="B13" s="64"/>
      <c r="C13" s="64"/>
      <c r="D13" s="64"/>
      <c r="E13" s="64" t="s">
        <v>106</v>
      </c>
      <c r="F13" s="77">
        <v>20</v>
      </c>
      <c r="G13" s="64"/>
      <c r="H13" s="77">
        <v>0</v>
      </c>
      <c r="I13" s="64"/>
      <c r="J13" s="78">
        <f t="shared" si="0"/>
        <v>1</v>
      </c>
      <c r="K13" s="64"/>
      <c r="L13" s="77">
        <v>900</v>
      </c>
      <c r="M13" s="64"/>
      <c r="N13" s="77">
        <v>0</v>
      </c>
      <c r="O13" s="64"/>
      <c r="P13" s="78">
        <f t="shared" si="1"/>
        <v>1</v>
      </c>
      <c r="Q13" s="64"/>
      <c r="R13" s="77">
        <v>100</v>
      </c>
      <c r="T13" s="78">
        <f t="shared" si="2"/>
        <v>9</v>
      </c>
      <c r="V13" s="77">
        <v>4</v>
      </c>
      <c r="X13" s="78">
        <f t="shared" si="3"/>
        <v>225</v>
      </c>
    </row>
    <row r="14" spans="1:24" ht="15" customHeight="1" thickBot="1" x14ac:dyDescent="0.25">
      <c r="A14" s="64"/>
      <c r="B14" s="64"/>
      <c r="C14" s="64"/>
      <c r="D14" s="64"/>
      <c r="E14" s="64" t="s">
        <v>107</v>
      </c>
      <c r="F14" s="80">
        <v>9322</v>
      </c>
      <c r="G14" s="64"/>
      <c r="H14" s="80">
        <v>9631</v>
      </c>
      <c r="I14" s="64"/>
      <c r="J14" s="81">
        <f t="shared" si="0"/>
        <v>0.96792</v>
      </c>
      <c r="K14" s="64"/>
      <c r="L14" s="80">
        <v>17419</v>
      </c>
      <c r="M14" s="64"/>
      <c r="N14" s="80">
        <v>18262</v>
      </c>
      <c r="O14" s="64"/>
      <c r="P14" s="81">
        <f t="shared" si="1"/>
        <v>0.95384000000000002</v>
      </c>
      <c r="Q14" s="64"/>
      <c r="R14" s="80">
        <v>174570</v>
      </c>
      <c r="T14" s="81">
        <f t="shared" si="2"/>
        <v>9.9779999999999994E-2</v>
      </c>
      <c r="V14" s="80">
        <v>22998.09</v>
      </c>
      <c r="X14" s="81">
        <f t="shared" si="3"/>
        <v>0.75741000000000003</v>
      </c>
    </row>
    <row r="15" spans="1:24" ht="15" customHeight="1" x14ac:dyDescent="0.2">
      <c r="A15" s="64"/>
      <c r="B15" s="64"/>
      <c r="C15" s="64"/>
      <c r="D15" s="64" t="s">
        <v>113</v>
      </c>
      <c r="E15" s="64"/>
      <c r="F15" s="77">
        <f>ROUND(SUM(F4:F14),5)</f>
        <v>452454</v>
      </c>
      <c r="G15" s="64"/>
      <c r="H15" s="77">
        <f>ROUND(SUM(H4:H14),5)</f>
        <v>222571</v>
      </c>
      <c r="I15" s="64"/>
      <c r="J15" s="78">
        <f t="shared" si="0"/>
        <v>2.0328499999999998</v>
      </c>
      <c r="K15" s="64"/>
      <c r="L15" s="77">
        <f>ROUND(SUM(L4:L14),5)</f>
        <v>569177</v>
      </c>
      <c r="M15" s="64"/>
      <c r="N15" s="77">
        <f>ROUND(SUM(N4:N14),5)</f>
        <v>360102</v>
      </c>
      <c r="O15" s="64"/>
      <c r="P15" s="78">
        <f t="shared" si="1"/>
        <v>1.5806</v>
      </c>
      <c r="Q15" s="64"/>
      <c r="R15" s="77">
        <f>ROUND(SUM(R4:R14),5)</f>
        <v>1269670</v>
      </c>
      <c r="T15" s="78">
        <f t="shared" si="2"/>
        <v>0.44829000000000002</v>
      </c>
      <c r="V15" s="77">
        <f>ROUND(SUM(V4:V14),5)</f>
        <v>210129.07</v>
      </c>
      <c r="X15" s="78">
        <f t="shared" si="3"/>
        <v>2.7086999999999999</v>
      </c>
    </row>
    <row r="16" spans="1:24" ht="15" customHeight="1" x14ac:dyDescent="0.2">
      <c r="A16" s="64"/>
      <c r="B16" s="64"/>
      <c r="C16" s="64"/>
      <c r="D16" s="64" t="s">
        <v>114</v>
      </c>
      <c r="E16" s="64"/>
      <c r="F16" s="77"/>
      <c r="G16" s="64"/>
      <c r="H16" s="77"/>
      <c r="I16" s="64"/>
      <c r="J16" s="78"/>
      <c r="K16" s="64"/>
      <c r="L16" s="77"/>
      <c r="M16" s="64"/>
      <c r="N16" s="77"/>
      <c r="O16" s="64"/>
      <c r="P16" s="78"/>
      <c r="Q16" s="64"/>
      <c r="R16" s="77"/>
      <c r="T16" s="78"/>
      <c r="V16" s="77"/>
      <c r="X16" s="78"/>
    </row>
    <row r="17" spans="1:24" ht="15" customHeight="1" x14ac:dyDescent="0.2">
      <c r="A17" s="64"/>
      <c r="B17" s="64"/>
      <c r="C17" s="64"/>
      <c r="D17" s="64"/>
      <c r="E17" s="64" t="s">
        <v>115</v>
      </c>
      <c r="F17" s="77">
        <v>420</v>
      </c>
      <c r="G17" s="64"/>
      <c r="H17" s="77">
        <v>300</v>
      </c>
      <c r="I17" s="64"/>
      <c r="J17" s="78">
        <f t="shared" ref="J17:J24" si="6">ROUND(IF(H17=0, IF(F17=0, 0, 1), F17/H17),5)</f>
        <v>1.4</v>
      </c>
      <c r="K17" s="64"/>
      <c r="L17" s="77">
        <v>840</v>
      </c>
      <c r="M17" s="64"/>
      <c r="N17" s="77">
        <v>600</v>
      </c>
      <c r="O17" s="64"/>
      <c r="P17" s="78">
        <f t="shared" ref="P17:P24" si="7">ROUND(IF(N17=0, IF(L17=0, 0, 1), L17/N17),5)</f>
        <v>1.4</v>
      </c>
      <c r="Q17" s="64"/>
      <c r="R17" s="77">
        <v>6000</v>
      </c>
      <c r="T17" s="78">
        <f t="shared" si="2"/>
        <v>0.14000000000000001</v>
      </c>
      <c r="V17" s="77">
        <v>1809</v>
      </c>
      <c r="X17" s="78">
        <f t="shared" si="3"/>
        <v>0.46433999999999997</v>
      </c>
    </row>
    <row r="18" spans="1:24" ht="15" customHeight="1" x14ac:dyDescent="0.2">
      <c r="A18" s="64"/>
      <c r="B18" s="64"/>
      <c r="C18" s="64"/>
      <c r="D18" s="64"/>
      <c r="E18" s="64" t="s">
        <v>116</v>
      </c>
      <c r="F18" s="77">
        <v>3167</v>
      </c>
      <c r="G18" s="64"/>
      <c r="H18" s="77">
        <v>3996</v>
      </c>
      <c r="I18" s="64"/>
      <c r="J18" s="78">
        <f t="shared" si="6"/>
        <v>0.79254000000000002</v>
      </c>
      <c r="K18" s="64"/>
      <c r="L18" s="77">
        <v>6254</v>
      </c>
      <c r="M18" s="64"/>
      <c r="N18" s="77">
        <v>7548</v>
      </c>
      <c r="O18" s="64"/>
      <c r="P18" s="78">
        <f t="shared" si="7"/>
        <v>0.82855999999999996</v>
      </c>
      <c r="Q18" s="64"/>
      <c r="R18" s="77">
        <v>75730</v>
      </c>
      <c r="T18" s="78">
        <f t="shared" si="2"/>
        <v>8.2580000000000001E-2</v>
      </c>
      <c r="V18" s="77">
        <v>8761.67</v>
      </c>
      <c r="X18" s="78">
        <f t="shared" si="3"/>
        <v>0.71379000000000004</v>
      </c>
    </row>
    <row r="19" spans="1:24" ht="15" customHeight="1" x14ac:dyDescent="0.2">
      <c r="A19" s="64"/>
      <c r="B19" s="64"/>
      <c r="C19" s="64"/>
      <c r="D19" s="64"/>
      <c r="E19" s="64" t="s">
        <v>117</v>
      </c>
      <c r="F19" s="77">
        <v>1581</v>
      </c>
      <c r="G19" s="64"/>
      <c r="H19" s="77">
        <v>1252</v>
      </c>
      <c r="I19" s="64"/>
      <c r="J19" s="78">
        <f t="shared" si="6"/>
        <v>1.26278</v>
      </c>
      <c r="K19" s="64"/>
      <c r="L19" s="77">
        <v>2986</v>
      </c>
      <c r="M19" s="64"/>
      <c r="N19" s="77">
        <v>2504</v>
      </c>
      <c r="O19" s="64"/>
      <c r="P19" s="78">
        <f t="shared" si="7"/>
        <v>1.19249</v>
      </c>
      <c r="Q19" s="64"/>
      <c r="R19" s="77">
        <v>22260</v>
      </c>
      <c r="T19" s="78">
        <f t="shared" si="2"/>
        <v>0.13414000000000001</v>
      </c>
      <c r="V19" s="77">
        <v>3783.59</v>
      </c>
      <c r="X19" s="78">
        <f t="shared" si="3"/>
        <v>0.78920000000000001</v>
      </c>
    </row>
    <row r="20" spans="1:24" ht="15" customHeight="1" x14ac:dyDescent="0.2">
      <c r="A20" s="64"/>
      <c r="B20" s="64"/>
      <c r="C20" s="64"/>
      <c r="D20" s="64"/>
      <c r="E20" s="64" t="s">
        <v>118</v>
      </c>
      <c r="F20" s="77">
        <v>424</v>
      </c>
      <c r="G20" s="64"/>
      <c r="H20" s="77">
        <v>630</v>
      </c>
      <c r="I20" s="64"/>
      <c r="J20" s="78">
        <f t="shared" si="6"/>
        <v>0.67301999999999995</v>
      </c>
      <c r="K20" s="64"/>
      <c r="L20" s="77">
        <v>901</v>
      </c>
      <c r="M20" s="64"/>
      <c r="N20" s="77">
        <v>1260</v>
      </c>
      <c r="O20" s="64"/>
      <c r="P20" s="78">
        <f t="shared" si="7"/>
        <v>0.71508000000000005</v>
      </c>
      <c r="Q20" s="64"/>
      <c r="R20" s="77">
        <v>11200</v>
      </c>
      <c r="T20" s="78">
        <f t="shared" si="2"/>
        <v>8.0449999999999994E-2</v>
      </c>
      <c r="V20" s="77">
        <v>1050.4000000000001</v>
      </c>
      <c r="X20" s="78">
        <f t="shared" si="3"/>
        <v>0.85777000000000003</v>
      </c>
    </row>
    <row r="21" spans="1:24" ht="15" customHeight="1" x14ac:dyDescent="0.2">
      <c r="A21" s="64"/>
      <c r="B21" s="64"/>
      <c r="C21" s="64"/>
      <c r="D21" s="64"/>
      <c r="E21" s="64" t="s">
        <v>119</v>
      </c>
      <c r="F21" s="77">
        <v>2</v>
      </c>
      <c r="G21" s="64"/>
      <c r="H21" s="77">
        <v>-10</v>
      </c>
      <c r="I21" s="64"/>
      <c r="J21" s="78">
        <f t="shared" si="6"/>
        <v>-0.2</v>
      </c>
      <c r="K21" s="64"/>
      <c r="L21" s="77">
        <v>2</v>
      </c>
      <c r="M21" s="64"/>
      <c r="N21" s="77">
        <v>-15</v>
      </c>
      <c r="O21" s="64"/>
      <c r="P21" s="78">
        <f t="shared" si="7"/>
        <v>-0.13333</v>
      </c>
      <c r="Q21" s="64"/>
      <c r="R21" s="77">
        <v>-600</v>
      </c>
      <c r="T21" s="78">
        <f t="shared" si="2"/>
        <v>-3.3300000000000001E-3</v>
      </c>
      <c r="V21" s="77">
        <v>-9.34</v>
      </c>
      <c r="X21" s="78">
        <f t="shared" si="3"/>
        <v>-0.21412999999999999</v>
      </c>
    </row>
    <row r="22" spans="1:24" ht="15" customHeight="1" thickBot="1" x14ac:dyDescent="0.25">
      <c r="A22" s="64"/>
      <c r="B22" s="64"/>
      <c r="C22" s="64"/>
      <c r="D22" s="64"/>
      <c r="E22" s="64" t="s">
        <v>120</v>
      </c>
      <c r="F22" s="82">
        <v>26</v>
      </c>
      <c r="G22" s="64"/>
      <c r="H22" s="82">
        <v>75</v>
      </c>
      <c r="I22" s="64"/>
      <c r="J22" s="83">
        <f t="shared" si="6"/>
        <v>0.34666999999999998</v>
      </c>
      <c r="K22" s="64"/>
      <c r="L22" s="82">
        <v>54</v>
      </c>
      <c r="M22" s="64"/>
      <c r="N22" s="82">
        <v>150</v>
      </c>
      <c r="O22" s="64"/>
      <c r="P22" s="83">
        <f t="shared" si="7"/>
        <v>0.36</v>
      </c>
      <c r="Q22" s="64"/>
      <c r="R22" s="82">
        <v>1000</v>
      </c>
      <c r="T22" s="83">
        <f t="shared" si="2"/>
        <v>5.3999999999999999E-2</v>
      </c>
      <c r="V22" s="82">
        <v>120.2</v>
      </c>
      <c r="X22" s="83">
        <f t="shared" si="3"/>
        <v>0.44924999999999998</v>
      </c>
    </row>
    <row r="23" spans="1:24" ht="15" customHeight="1" thickBot="1" x14ac:dyDescent="0.25">
      <c r="A23" s="64"/>
      <c r="B23" s="64"/>
      <c r="C23" s="64"/>
      <c r="D23" s="64" t="s">
        <v>121</v>
      </c>
      <c r="E23" s="64"/>
      <c r="F23" s="84">
        <f>ROUND(SUM(F16:F22),5)</f>
        <v>5620</v>
      </c>
      <c r="G23" s="64"/>
      <c r="H23" s="84">
        <f>ROUND(SUM(H16:H22),5)</f>
        <v>6243</v>
      </c>
      <c r="I23" s="64"/>
      <c r="J23" s="85">
        <f t="shared" si="6"/>
        <v>0.90020999999999995</v>
      </c>
      <c r="K23" s="64"/>
      <c r="L23" s="84">
        <f>ROUND(SUM(L16:L22),5)</f>
        <v>11037</v>
      </c>
      <c r="M23" s="64"/>
      <c r="N23" s="84">
        <f>ROUND(SUM(N16:N22),5)</f>
        <v>12047</v>
      </c>
      <c r="O23" s="64"/>
      <c r="P23" s="85">
        <f t="shared" si="7"/>
        <v>0.91615999999999997</v>
      </c>
      <c r="Q23" s="64"/>
      <c r="R23" s="84">
        <f>ROUND(SUM(R16:R22),5)</f>
        <v>115590</v>
      </c>
      <c r="T23" s="85">
        <f t="shared" si="2"/>
        <v>9.5479999999999995E-2</v>
      </c>
      <c r="V23" s="84">
        <f>ROUND(SUM(V16:V22),5)</f>
        <v>15515.52</v>
      </c>
      <c r="X23" s="85">
        <f t="shared" si="3"/>
        <v>0.71135000000000004</v>
      </c>
    </row>
    <row r="24" spans="1:24" ht="15" customHeight="1" x14ac:dyDescent="0.2">
      <c r="A24" s="64"/>
      <c r="B24" s="64"/>
      <c r="C24" s="64" t="s">
        <v>122</v>
      </c>
      <c r="D24" s="64"/>
      <c r="E24" s="64"/>
      <c r="F24" s="77">
        <f>ROUND(F15-F23,5)</f>
        <v>446834</v>
      </c>
      <c r="G24" s="64"/>
      <c r="H24" s="77">
        <f>ROUND(H15-H23,5)</f>
        <v>216328</v>
      </c>
      <c r="I24" s="64"/>
      <c r="J24" s="78">
        <f t="shared" si="6"/>
        <v>2.0655399999999999</v>
      </c>
      <c r="K24" s="64"/>
      <c r="L24" s="77">
        <f>ROUND(L15-L23,5)</f>
        <v>558140</v>
      </c>
      <c r="M24" s="64"/>
      <c r="N24" s="77">
        <f>ROUND(N15-N23,5)</f>
        <v>348055</v>
      </c>
      <c r="O24" s="64"/>
      <c r="P24" s="78">
        <f t="shared" si="7"/>
        <v>1.6035999999999999</v>
      </c>
      <c r="Q24" s="64"/>
      <c r="R24" s="77">
        <f>ROUND(R15-R23,5)</f>
        <v>1154080</v>
      </c>
      <c r="T24" s="78">
        <f t="shared" si="2"/>
        <v>0.48361999999999999</v>
      </c>
      <c r="V24" s="77">
        <f>ROUND(V15-V23,5)</f>
        <v>194613.55</v>
      </c>
      <c r="X24" s="78">
        <f t="shared" si="3"/>
        <v>2.8679399999999999</v>
      </c>
    </row>
    <row r="25" spans="1:24" ht="15" customHeight="1" x14ac:dyDescent="0.2">
      <c r="A25" s="64"/>
      <c r="B25" s="64"/>
      <c r="C25" s="64"/>
      <c r="D25" s="64" t="s">
        <v>123</v>
      </c>
      <c r="E25" s="64"/>
      <c r="F25" s="77"/>
      <c r="G25" s="64"/>
      <c r="H25" s="77"/>
      <c r="I25" s="64"/>
      <c r="J25" s="78"/>
      <c r="K25" s="64"/>
      <c r="L25" s="77"/>
      <c r="M25" s="64"/>
      <c r="N25" s="77"/>
      <c r="O25" s="64"/>
      <c r="P25" s="78"/>
      <c r="Q25" s="64"/>
      <c r="R25" s="77"/>
      <c r="T25" s="78"/>
      <c r="V25" s="77"/>
      <c r="X25" s="78"/>
    </row>
    <row r="26" spans="1:24" ht="15" customHeight="1" x14ac:dyDescent="0.2">
      <c r="A26" s="64"/>
      <c r="B26" s="64"/>
      <c r="C26" s="64"/>
      <c r="D26" s="64"/>
      <c r="E26" s="64" t="s">
        <v>124</v>
      </c>
      <c r="F26" s="77">
        <v>52170</v>
      </c>
      <c r="G26" s="64"/>
      <c r="H26" s="77">
        <v>61134</v>
      </c>
      <c r="I26" s="64"/>
      <c r="J26" s="78">
        <f t="shared" ref="J26:J35" si="8">ROUND(IF(H26=0, IF(F26=0, 0, 1), F26/H26),5)</f>
        <v>0.85336999999999996</v>
      </c>
      <c r="K26" s="64"/>
      <c r="L26" s="77">
        <v>106757</v>
      </c>
      <c r="M26" s="64"/>
      <c r="N26" s="77">
        <v>114329</v>
      </c>
      <c r="O26" s="64"/>
      <c r="P26" s="78">
        <f t="shared" ref="P26:P35" si="9">ROUND(IF(N26=0, IF(L26=0, 0, 1), L26/N26),5)</f>
        <v>0.93376999999999999</v>
      </c>
      <c r="Q26" s="64"/>
      <c r="R26" s="77">
        <v>691170</v>
      </c>
      <c r="T26" s="78">
        <f t="shared" si="2"/>
        <v>0.15445999999999999</v>
      </c>
      <c r="V26" s="77">
        <v>97440.25</v>
      </c>
      <c r="X26" s="78">
        <f t="shared" si="3"/>
        <v>1.09562</v>
      </c>
    </row>
    <row r="27" spans="1:24" ht="15" customHeight="1" x14ac:dyDescent="0.2">
      <c r="A27" s="64"/>
      <c r="B27" s="64"/>
      <c r="C27" s="64"/>
      <c r="D27" s="64"/>
      <c r="E27" s="64" t="s">
        <v>132</v>
      </c>
      <c r="F27" s="77">
        <v>5966</v>
      </c>
      <c r="G27" s="64"/>
      <c r="H27" s="77">
        <v>2604</v>
      </c>
      <c r="I27" s="64"/>
      <c r="J27" s="78">
        <f t="shared" si="8"/>
        <v>2.2910900000000001</v>
      </c>
      <c r="K27" s="64"/>
      <c r="L27" s="77">
        <v>9437</v>
      </c>
      <c r="M27" s="64"/>
      <c r="N27" s="77">
        <v>7174</v>
      </c>
      <c r="O27" s="64"/>
      <c r="P27" s="78">
        <f t="shared" si="9"/>
        <v>1.3154399999999999</v>
      </c>
      <c r="Q27" s="64"/>
      <c r="R27" s="77">
        <v>79000</v>
      </c>
      <c r="T27" s="78">
        <f t="shared" si="2"/>
        <v>0.11946</v>
      </c>
      <c r="V27" s="77">
        <v>15837.28</v>
      </c>
      <c r="X27" s="78">
        <f t="shared" si="3"/>
        <v>0.59587000000000001</v>
      </c>
    </row>
    <row r="28" spans="1:24" ht="15" customHeight="1" x14ac:dyDescent="0.2">
      <c r="A28" s="64"/>
      <c r="B28" s="64"/>
      <c r="C28" s="64"/>
      <c r="D28" s="64"/>
      <c r="E28" s="64" t="s">
        <v>141</v>
      </c>
      <c r="F28" s="77">
        <v>7978</v>
      </c>
      <c r="G28" s="64"/>
      <c r="H28" s="77">
        <v>5253</v>
      </c>
      <c r="I28" s="64"/>
      <c r="J28" s="78">
        <f t="shared" si="8"/>
        <v>1.51875</v>
      </c>
      <c r="K28" s="64"/>
      <c r="L28" s="77">
        <v>12360</v>
      </c>
      <c r="M28" s="64"/>
      <c r="N28" s="77">
        <v>11562</v>
      </c>
      <c r="O28" s="64"/>
      <c r="P28" s="78">
        <f t="shared" si="9"/>
        <v>1.0690200000000001</v>
      </c>
      <c r="Q28" s="64"/>
      <c r="R28" s="77">
        <v>185070</v>
      </c>
      <c r="T28" s="78">
        <f t="shared" si="2"/>
        <v>6.6790000000000002E-2</v>
      </c>
      <c r="V28" s="77">
        <v>16798.86</v>
      </c>
      <c r="X28" s="78">
        <f t="shared" si="3"/>
        <v>0.73575999999999997</v>
      </c>
    </row>
    <row r="29" spans="1:24" ht="15" customHeight="1" x14ac:dyDescent="0.2">
      <c r="A29" s="64"/>
      <c r="B29" s="64"/>
      <c r="C29" s="64"/>
      <c r="D29" s="64"/>
      <c r="E29" s="64" t="s">
        <v>149</v>
      </c>
      <c r="F29" s="77">
        <v>8851</v>
      </c>
      <c r="G29" s="64"/>
      <c r="H29" s="77">
        <v>10395</v>
      </c>
      <c r="I29" s="64"/>
      <c r="J29" s="78">
        <f t="shared" si="8"/>
        <v>0.85146999999999995</v>
      </c>
      <c r="K29" s="64"/>
      <c r="L29" s="77">
        <v>17915</v>
      </c>
      <c r="M29" s="64"/>
      <c r="N29" s="77">
        <v>19476</v>
      </c>
      <c r="O29" s="64"/>
      <c r="P29" s="78">
        <f t="shared" si="9"/>
        <v>0.91984999999999995</v>
      </c>
      <c r="Q29" s="64"/>
      <c r="R29" s="77">
        <v>127340</v>
      </c>
      <c r="T29" s="78">
        <f t="shared" si="2"/>
        <v>0.14069000000000001</v>
      </c>
      <c r="V29" s="77">
        <v>23474.5</v>
      </c>
      <c r="X29" s="78">
        <f t="shared" si="3"/>
        <v>0.76317000000000002</v>
      </c>
    </row>
    <row r="30" spans="1:24" ht="15" customHeight="1" x14ac:dyDescent="0.2">
      <c r="A30" s="64"/>
      <c r="B30" s="64"/>
      <c r="C30" s="64"/>
      <c r="D30" s="64"/>
      <c r="E30" s="64" t="s">
        <v>160</v>
      </c>
      <c r="F30" s="77">
        <v>3369</v>
      </c>
      <c r="G30" s="64"/>
      <c r="H30" s="77">
        <v>1956</v>
      </c>
      <c r="I30" s="64"/>
      <c r="J30" s="78">
        <f t="shared" si="8"/>
        <v>1.7223900000000001</v>
      </c>
      <c r="K30" s="64"/>
      <c r="L30" s="77">
        <v>4867</v>
      </c>
      <c r="M30" s="64"/>
      <c r="N30" s="77">
        <v>3021</v>
      </c>
      <c r="O30" s="64"/>
      <c r="P30" s="78">
        <f t="shared" si="9"/>
        <v>1.6110599999999999</v>
      </c>
      <c r="Q30" s="64"/>
      <c r="R30" s="77">
        <v>33150</v>
      </c>
      <c r="T30" s="78">
        <f t="shared" si="2"/>
        <v>0.14682000000000001</v>
      </c>
      <c r="V30" s="77">
        <v>3696.87</v>
      </c>
      <c r="X30" s="78">
        <f t="shared" si="3"/>
        <v>1.3165199999999999</v>
      </c>
    </row>
    <row r="31" spans="1:24" ht="15" customHeight="1" x14ac:dyDescent="0.2">
      <c r="A31" s="64"/>
      <c r="B31" s="64"/>
      <c r="C31" s="64"/>
      <c r="D31" s="64"/>
      <c r="E31" s="64" t="s">
        <v>166</v>
      </c>
      <c r="F31" s="77">
        <v>2726</v>
      </c>
      <c r="G31" s="64"/>
      <c r="H31" s="77">
        <v>2167</v>
      </c>
      <c r="I31" s="64"/>
      <c r="J31" s="78">
        <f t="shared" si="8"/>
        <v>1.25796</v>
      </c>
      <c r="K31" s="64"/>
      <c r="L31" s="77">
        <v>3134</v>
      </c>
      <c r="M31" s="64"/>
      <c r="N31" s="77">
        <v>2370</v>
      </c>
      <c r="O31" s="64"/>
      <c r="P31" s="78">
        <f t="shared" si="9"/>
        <v>1.32236</v>
      </c>
      <c r="Q31" s="64"/>
      <c r="R31" s="77">
        <v>34650</v>
      </c>
      <c r="T31" s="78">
        <f t="shared" si="2"/>
        <v>9.0450000000000003E-2</v>
      </c>
      <c r="V31" s="77">
        <v>2864.18</v>
      </c>
      <c r="X31" s="78">
        <f t="shared" si="3"/>
        <v>1.0942000000000001</v>
      </c>
    </row>
    <row r="32" spans="1:24" ht="15" customHeight="1" x14ac:dyDescent="0.2">
      <c r="A32" s="64"/>
      <c r="B32" s="64"/>
      <c r="C32" s="64"/>
      <c r="D32" s="64"/>
      <c r="E32" s="64" t="s">
        <v>171</v>
      </c>
      <c r="F32" s="77">
        <v>3248</v>
      </c>
      <c r="G32" s="64"/>
      <c r="H32" s="77">
        <v>3539</v>
      </c>
      <c r="I32" s="64"/>
      <c r="J32" s="78">
        <f t="shared" si="8"/>
        <v>0.91776999999999997</v>
      </c>
      <c r="K32" s="64"/>
      <c r="L32" s="77">
        <v>6692</v>
      </c>
      <c r="M32" s="64"/>
      <c r="N32" s="77">
        <v>7945</v>
      </c>
      <c r="O32" s="64"/>
      <c r="P32" s="78">
        <f t="shared" si="9"/>
        <v>0.84228999999999998</v>
      </c>
      <c r="Q32" s="64"/>
      <c r="R32" s="77">
        <v>41000</v>
      </c>
      <c r="T32" s="78">
        <f t="shared" si="2"/>
        <v>0.16322</v>
      </c>
      <c r="V32" s="77">
        <v>5917.87</v>
      </c>
      <c r="X32" s="78">
        <f t="shared" si="3"/>
        <v>1.1308100000000001</v>
      </c>
    </row>
    <row r="33" spans="1:24" ht="15" customHeight="1" thickBot="1" x14ac:dyDescent="0.25">
      <c r="A33" s="64"/>
      <c r="B33" s="64"/>
      <c r="C33" s="64"/>
      <c r="D33" s="64"/>
      <c r="E33" s="64" t="s">
        <v>180</v>
      </c>
      <c r="F33" s="82">
        <v>2907</v>
      </c>
      <c r="G33" s="64"/>
      <c r="H33" s="82">
        <v>3215</v>
      </c>
      <c r="I33" s="64"/>
      <c r="J33" s="83">
        <f t="shared" si="8"/>
        <v>0.9042</v>
      </c>
      <c r="K33" s="64"/>
      <c r="L33" s="82">
        <v>7041</v>
      </c>
      <c r="M33" s="64"/>
      <c r="N33" s="82">
        <v>6149</v>
      </c>
      <c r="O33" s="64"/>
      <c r="P33" s="83">
        <f t="shared" si="9"/>
        <v>1.14506</v>
      </c>
      <c r="Q33" s="64"/>
      <c r="R33" s="82">
        <v>32370</v>
      </c>
      <c r="T33" s="83">
        <f t="shared" si="2"/>
        <v>0.21751999999999999</v>
      </c>
      <c r="V33" s="82">
        <v>5841.02</v>
      </c>
      <c r="X33" s="83">
        <f t="shared" si="3"/>
        <v>1.2054400000000001</v>
      </c>
    </row>
    <row r="34" spans="1:24" ht="15" customHeight="1" thickBot="1" x14ac:dyDescent="0.25">
      <c r="A34" s="64"/>
      <c r="B34" s="64"/>
      <c r="C34" s="64"/>
      <c r="D34" s="64" t="s">
        <v>185</v>
      </c>
      <c r="E34" s="64"/>
      <c r="F34" s="84">
        <f>ROUND(SUM(F25:F33),5)</f>
        <v>87215</v>
      </c>
      <c r="G34" s="64"/>
      <c r="H34" s="84">
        <f>ROUND(SUM(H25:H33),5)</f>
        <v>90263</v>
      </c>
      <c r="I34" s="64"/>
      <c r="J34" s="85">
        <f t="shared" si="8"/>
        <v>0.96623000000000003</v>
      </c>
      <c r="K34" s="64"/>
      <c r="L34" s="84">
        <f>ROUND(SUM(L25:L33),5)</f>
        <v>168203</v>
      </c>
      <c r="M34" s="64"/>
      <c r="N34" s="84">
        <f>ROUND(SUM(N25:N33),5)</f>
        <v>172026</v>
      </c>
      <c r="O34" s="64"/>
      <c r="P34" s="85">
        <f t="shared" si="9"/>
        <v>0.97777999999999998</v>
      </c>
      <c r="Q34" s="64"/>
      <c r="R34" s="84">
        <f>ROUND(SUM(R25:R33),5)</f>
        <v>1223750</v>
      </c>
      <c r="T34" s="85">
        <f t="shared" si="2"/>
        <v>0.13744999999999999</v>
      </c>
      <c r="V34" s="84">
        <f>ROUND(SUM(V25:V33),5)</f>
        <v>171870.83</v>
      </c>
      <c r="X34" s="85">
        <f t="shared" si="3"/>
        <v>0.97865999999999997</v>
      </c>
    </row>
    <row r="35" spans="1:24" ht="15" customHeight="1" x14ac:dyDescent="0.2">
      <c r="A35" s="64"/>
      <c r="B35" s="64" t="s">
        <v>186</v>
      </c>
      <c r="C35" s="64"/>
      <c r="D35" s="64"/>
      <c r="E35" s="64"/>
      <c r="F35" s="77">
        <f>ROUND(F3+F24-F34,5)</f>
        <v>359619</v>
      </c>
      <c r="G35" s="64"/>
      <c r="H35" s="77">
        <f>ROUND(H3+H24-H34,5)</f>
        <v>126065</v>
      </c>
      <c r="I35" s="64"/>
      <c r="J35" s="78">
        <f t="shared" si="8"/>
        <v>2.8526500000000001</v>
      </c>
      <c r="K35" s="64"/>
      <c r="L35" s="77">
        <f>ROUND(L3+L24-L34,5)</f>
        <v>389937</v>
      </c>
      <c r="M35" s="64"/>
      <c r="N35" s="77">
        <f>ROUND(N3+N24-N34,5)</f>
        <v>176029</v>
      </c>
      <c r="O35" s="64"/>
      <c r="P35" s="78">
        <f t="shared" si="9"/>
        <v>2.2151900000000002</v>
      </c>
      <c r="Q35" s="64"/>
      <c r="R35" s="77">
        <f>ROUND(R3+R24-R34,5)</f>
        <v>-69670</v>
      </c>
      <c r="T35" s="78">
        <f t="shared" si="2"/>
        <v>-5.5969100000000003</v>
      </c>
      <c r="V35" s="77">
        <f>ROUND(V3+V24-V34,5)</f>
        <v>22742.720000000001</v>
      </c>
      <c r="X35" s="78">
        <f t="shared" si="3"/>
        <v>17.145569999999999</v>
      </c>
    </row>
    <row r="36" spans="1:24" ht="15" customHeight="1" x14ac:dyDescent="0.2">
      <c r="A36" s="64"/>
      <c r="B36" s="64" t="s">
        <v>187</v>
      </c>
      <c r="C36" s="64"/>
      <c r="D36" s="64"/>
      <c r="E36" s="64"/>
      <c r="F36" s="77"/>
      <c r="G36" s="64"/>
      <c r="H36" s="77"/>
      <c r="I36" s="64"/>
      <c r="J36" s="78"/>
      <c r="K36" s="64"/>
      <c r="L36" s="77"/>
      <c r="M36" s="64"/>
      <c r="N36" s="77"/>
      <c r="O36" s="64"/>
      <c r="P36" s="78"/>
      <c r="Q36" s="64"/>
      <c r="R36" s="77"/>
      <c r="T36" s="78"/>
      <c r="V36" s="77"/>
      <c r="X36" s="78"/>
    </row>
    <row r="37" spans="1:24" ht="15" customHeight="1" x14ac:dyDescent="0.2">
      <c r="A37" s="64"/>
      <c r="B37" s="64"/>
      <c r="C37" s="64" t="s">
        <v>188</v>
      </c>
      <c r="D37" s="64"/>
      <c r="E37" s="64"/>
      <c r="F37" s="77"/>
      <c r="G37" s="64"/>
      <c r="H37" s="77"/>
      <c r="I37" s="64"/>
      <c r="J37" s="78"/>
      <c r="K37" s="64"/>
      <c r="L37" s="77"/>
      <c r="M37" s="64"/>
      <c r="N37" s="77"/>
      <c r="O37" s="64"/>
      <c r="P37" s="78"/>
      <c r="Q37" s="64"/>
      <c r="R37" s="77"/>
      <c r="T37" s="78"/>
      <c r="V37" s="77"/>
      <c r="X37" s="78"/>
    </row>
    <row r="38" spans="1:24" ht="15" customHeight="1" x14ac:dyDescent="0.2">
      <c r="A38" s="64"/>
      <c r="B38" s="64"/>
      <c r="C38" s="64"/>
      <c r="D38" s="64" t="s">
        <v>189</v>
      </c>
      <c r="E38" s="64"/>
      <c r="F38" s="77">
        <v>0</v>
      </c>
      <c r="G38" s="64"/>
      <c r="H38" s="77">
        <v>0</v>
      </c>
      <c r="I38" s="64"/>
      <c r="J38" s="78">
        <f t="shared" ref="J38:J43" si="10">ROUND(IF(H38=0, IF(F38=0, 0, 1), F38/H38),5)</f>
        <v>0</v>
      </c>
      <c r="K38" s="64"/>
      <c r="L38" s="77">
        <v>0</v>
      </c>
      <c r="M38" s="64"/>
      <c r="N38" s="77">
        <v>0</v>
      </c>
      <c r="O38" s="64"/>
      <c r="P38" s="78">
        <f t="shared" ref="P38:P43" si="11">ROUND(IF(N38=0, IF(L38=0, 0, 1), L38/N38),5)</f>
        <v>0</v>
      </c>
      <c r="Q38" s="64"/>
      <c r="R38" s="77">
        <v>70000</v>
      </c>
      <c r="T38" s="78">
        <f t="shared" si="2"/>
        <v>0</v>
      </c>
      <c r="V38" s="77">
        <v>0</v>
      </c>
      <c r="X38" s="78">
        <f t="shared" si="3"/>
        <v>0</v>
      </c>
    </row>
    <row r="39" spans="1:24" ht="15" customHeight="1" x14ac:dyDescent="0.2">
      <c r="A39" s="64"/>
      <c r="B39" s="64"/>
      <c r="C39" s="64"/>
      <c r="D39" s="64" t="s">
        <v>192</v>
      </c>
      <c r="E39" s="64"/>
      <c r="F39" s="77">
        <v>7</v>
      </c>
      <c r="G39" s="64"/>
      <c r="H39" s="77">
        <v>0</v>
      </c>
      <c r="I39" s="64"/>
      <c r="J39" s="78">
        <f t="shared" si="10"/>
        <v>1</v>
      </c>
      <c r="K39" s="64"/>
      <c r="L39" s="77">
        <v>13</v>
      </c>
      <c r="M39" s="64"/>
      <c r="N39" s="77">
        <v>0</v>
      </c>
      <c r="O39" s="64"/>
      <c r="P39" s="78">
        <f t="shared" si="11"/>
        <v>1</v>
      </c>
      <c r="Q39" s="64"/>
      <c r="R39" s="77">
        <v>0</v>
      </c>
      <c r="T39" s="78">
        <f t="shared" si="2"/>
        <v>1</v>
      </c>
      <c r="V39" s="77">
        <v>1.6</v>
      </c>
      <c r="X39" s="78">
        <f t="shared" si="3"/>
        <v>8.125</v>
      </c>
    </row>
    <row r="40" spans="1:24" ht="15" customHeight="1" thickBot="1" x14ac:dyDescent="0.25">
      <c r="A40" s="64"/>
      <c r="B40" s="64"/>
      <c r="C40" s="64"/>
      <c r="D40" s="64" t="s">
        <v>193</v>
      </c>
      <c r="E40" s="64"/>
      <c r="F40" s="82">
        <v>-292</v>
      </c>
      <c r="G40" s="64"/>
      <c r="H40" s="82">
        <v>0</v>
      </c>
      <c r="I40" s="64"/>
      <c r="J40" s="83">
        <f t="shared" si="10"/>
        <v>1</v>
      </c>
      <c r="K40" s="64"/>
      <c r="L40" s="82">
        <v>-161</v>
      </c>
      <c r="M40" s="64"/>
      <c r="N40" s="82">
        <v>0</v>
      </c>
      <c r="O40" s="64"/>
      <c r="P40" s="83">
        <f t="shared" si="11"/>
        <v>1</v>
      </c>
      <c r="Q40" s="64"/>
      <c r="R40" s="82">
        <v>0</v>
      </c>
      <c r="T40" s="83">
        <f t="shared" si="2"/>
        <v>1</v>
      </c>
      <c r="V40" s="82">
        <v>68.55</v>
      </c>
      <c r="X40" s="83">
        <f t="shared" si="3"/>
        <v>-2.3486500000000001</v>
      </c>
    </row>
    <row r="41" spans="1:24" ht="15" customHeight="1" thickBot="1" x14ac:dyDescent="0.25">
      <c r="A41" s="64"/>
      <c r="B41" s="64"/>
      <c r="C41" s="64" t="s">
        <v>194</v>
      </c>
      <c r="D41" s="64"/>
      <c r="E41" s="64"/>
      <c r="F41" s="86">
        <f>ROUND(SUM(F37:F40),5)</f>
        <v>-285</v>
      </c>
      <c r="G41" s="64"/>
      <c r="H41" s="86">
        <f>ROUND(SUM(H37:H40),5)</f>
        <v>0</v>
      </c>
      <c r="I41" s="64"/>
      <c r="J41" s="87">
        <f t="shared" si="10"/>
        <v>1</v>
      </c>
      <c r="K41" s="64"/>
      <c r="L41" s="86">
        <f>ROUND(SUM(L37:L40),5)</f>
        <v>-148</v>
      </c>
      <c r="M41" s="64"/>
      <c r="N41" s="86">
        <f>ROUND(SUM(N37:N40),5)</f>
        <v>0</v>
      </c>
      <c r="O41" s="64"/>
      <c r="P41" s="87">
        <f t="shared" si="11"/>
        <v>1</v>
      </c>
      <c r="Q41" s="64"/>
      <c r="R41" s="86">
        <f>ROUND(SUM(R37:R40),5)</f>
        <v>70000</v>
      </c>
      <c r="T41" s="87">
        <f t="shared" si="2"/>
        <v>-2.1099999999999999E-3</v>
      </c>
      <c r="V41" s="86">
        <f>ROUND(SUM(V37:V40),5)</f>
        <v>70.150000000000006</v>
      </c>
      <c r="X41" s="87">
        <f t="shared" si="3"/>
        <v>-2.1097600000000001</v>
      </c>
    </row>
    <row r="42" spans="1:24" ht="15" customHeight="1" thickBot="1" x14ac:dyDescent="0.25">
      <c r="A42" s="64"/>
      <c r="B42" s="64" t="s">
        <v>195</v>
      </c>
      <c r="C42" s="64"/>
      <c r="D42" s="64"/>
      <c r="E42" s="64"/>
      <c r="F42" s="86">
        <f>ROUND(F36+F41,5)</f>
        <v>-285</v>
      </c>
      <c r="G42" s="64"/>
      <c r="H42" s="86">
        <f>ROUND(H36+H41,5)</f>
        <v>0</v>
      </c>
      <c r="I42" s="64"/>
      <c r="J42" s="87">
        <f t="shared" si="10"/>
        <v>1</v>
      </c>
      <c r="K42" s="64"/>
      <c r="L42" s="86">
        <f>ROUND(L36+L41,5)</f>
        <v>-148</v>
      </c>
      <c r="M42" s="64"/>
      <c r="N42" s="86">
        <f>ROUND(N36+N41,5)</f>
        <v>0</v>
      </c>
      <c r="O42" s="64"/>
      <c r="P42" s="87">
        <f t="shared" si="11"/>
        <v>1</v>
      </c>
      <c r="Q42" s="64"/>
      <c r="R42" s="86">
        <f>ROUND(R36+R41,5)</f>
        <v>70000</v>
      </c>
      <c r="T42" s="87">
        <f t="shared" si="2"/>
        <v>-2.1099999999999999E-3</v>
      </c>
      <c r="V42" s="86">
        <f>ROUND(V36+V41,5)</f>
        <v>70.150000000000006</v>
      </c>
      <c r="X42" s="87">
        <f t="shared" si="3"/>
        <v>-2.1097600000000001</v>
      </c>
    </row>
    <row r="43" spans="1:24" s="90" customFormat="1" ht="15" customHeight="1" thickBot="1" x14ac:dyDescent="0.2">
      <c r="A43" s="64" t="s">
        <v>196</v>
      </c>
      <c r="B43" s="64"/>
      <c r="C43" s="64"/>
      <c r="D43" s="64"/>
      <c r="E43" s="64"/>
      <c r="F43" s="88">
        <f>ROUND(F35+F42,5)</f>
        <v>359334</v>
      </c>
      <c r="G43" s="64"/>
      <c r="H43" s="88">
        <f>ROUND(H35+H42,5)</f>
        <v>126065</v>
      </c>
      <c r="I43" s="64"/>
      <c r="J43" s="89">
        <f t="shared" si="10"/>
        <v>2.85039</v>
      </c>
      <c r="K43" s="64"/>
      <c r="L43" s="88">
        <f>ROUND(L35+L42,5)</f>
        <v>389789</v>
      </c>
      <c r="M43" s="64"/>
      <c r="N43" s="88">
        <f>ROUND(N35+N42,5)</f>
        <v>176029</v>
      </c>
      <c r="O43" s="64"/>
      <c r="P43" s="89">
        <f t="shared" si="11"/>
        <v>2.21435</v>
      </c>
      <c r="Q43" s="64"/>
      <c r="R43" s="88">
        <f>ROUND(R35+R42,5)</f>
        <v>330</v>
      </c>
      <c r="T43" s="89">
        <f t="shared" si="2"/>
        <v>1181.1787899999999</v>
      </c>
      <c r="V43" s="88">
        <f>ROUND(V35+V42,5)</f>
        <v>22812.87</v>
      </c>
      <c r="X43" s="89">
        <f t="shared" si="3"/>
        <v>17.086359999999999</v>
      </c>
    </row>
    <row r="44" spans="1:24" ht="15" customHeight="1" thickTop="1" x14ac:dyDescent="0.2">
      <c r="T44" s="92"/>
      <c r="V44" s="92"/>
    </row>
    <row r="45" spans="1:24" ht="15" customHeight="1" x14ac:dyDescent="0.2">
      <c r="A45" s="65" t="s">
        <v>204</v>
      </c>
      <c r="B45" s="60"/>
      <c r="C45" s="60"/>
      <c r="D45" s="60"/>
      <c r="E45" s="60"/>
      <c r="F45" s="91"/>
      <c r="G45" s="91"/>
    </row>
    <row r="46" spans="1:24" ht="15" customHeight="1" x14ac:dyDescent="0.2">
      <c r="A46" s="61" t="s">
        <v>203</v>
      </c>
      <c r="B46" s="60"/>
      <c r="C46" s="60"/>
      <c r="D46" s="60"/>
      <c r="E46" s="60"/>
      <c r="F46" s="77">
        <f>+F6</f>
        <v>270000</v>
      </c>
      <c r="G46" s="91"/>
      <c r="H46" s="77">
        <f>+H6</f>
        <v>0</v>
      </c>
      <c r="L46" s="77">
        <f>+L6</f>
        <v>270000</v>
      </c>
      <c r="N46" s="77">
        <f>+N6</f>
        <v>0</v>
      </c>
    </row>
    <row r="47" spans="1:24" ht="15" customHeight="1" thickBot="1" x14ac:dyDescent="0.25">
      <c r="F47" s="93">
        <f>+F43-F46</f>
        <v>89334</v>
      </c>
      <c r="H47" s="93">
        <f>+H43-H46</f>
        <v>126065</v>
      </c>
      <c r="L47" s="93">
        <f>+L43-L46</f>
        <v>119789</v>
      </c>
      <c r="N47" s="93">
        <f>+N43-N46</f>
        <v>176029</v>
      </c>
    </row>
    <row r="48" spans="1:24" ht="16" thickTop="1" x14ac:dyDescent="0.2"/>
  </sheetData>
  <pageMargins left="0.2" right="0.2" top="0.75" bottom="0.25" header="0.1" footer="0.3"/>
  <pageSetup scale="75" fitToHeight="2" orientation="landscape" r:id="rId1"/>
  <headerFooter>
    <oddHeader>&amp;L&amp;"Arial,Bold"&amp;8 3:00 PM
&amp;"Helvetica,Regular"&amp;10 06/05/19
&amp;"Arial,Bold"&amp;8 Accrual Basis&amp;C&amp;"Helvetica,Regular"&amp;14 Textile Center of Minnesota
&amp;"Helvetica,Regular"&amp;18 Operating Statement of Activities
&amp;"Helvetica,Regular"&amp;12 May 2019</oddHeader>
    <oddFooter>&amp;R&amp;"Helvetica,Regular"&amp;10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Y162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L2" sqref="L2"/>
    </sheetView>
  </sheetViews>
  <sheetFormatPr baseColWidth="10" defaultColWidth="9.1640625" defaultRowHeight="15" x14ac:dyDescent="0.2"/>
  <cols>
    <col min="1" max="6" width="1.6640625" style="91" customWidth="1"/>
    <col min="7" max="7" width="34.5" style="91" customWidth="1"/>
    <col min="8" max="8" width="10.6640625" style="92" bestFit="1" customWidth="1"/>
    <col min="9" max="9" width="2" style="92" customWidth="1"/>
    <col min="10" max="10" width="11.33203125" style="92" bestFit="1" customWidth="1"/>
    <col min="11" max="11" width="2" style="92" customWidth="1"/>
    <col min="12" max="12" width="9.1640625" style="92" bestFit="1" customWidth="1"/>
    <col min="13" max="13" width="2" style="92" customWidth="1"/>
    <col min="14" max="14" width="10.5" style="92" bestFit="1" customWidth="1"/>
    <col min="15" max="15" width="2" style="92" customWidth="1"/>
    <col min="16" max="16" width="11" style="92" bestFit="1" customWidth="1"/>
    <col min="17" max="17" width="2" style="92" customWidth="1"/>
    <col min="18" max="18" width="8.83203125" style="92" bestFit="1" customWidth="1"/>
    <col min="19" max="19" width="2" style="92" customWidth="1"/>
    <col min="20" max="20" width="13.33203125" style="92" customWidth="1"/>
    <col min="21" max="21" width="2" style="52" customWidth="1"/>
    <col min="22" max="22" width="11" style="52" bestFit="1" customWidth="1"/>
    <col min="23" max="23" width="3.6640625" style="52" customWidth="1"/>
    <col min="24" max="16384" width="9.1640625" style="52"/>
  </cols>
  <sheetData>
    <row r="1" spans="1:22" ht="16" thickBot="1" x14ac:dyDescent="0.25">
      <c r="A1" s="64"/>
      <c r="B1" s="64"/>
      <c r="C1" s="64"/>
      <c r="D1" s="64"/>
      <c r="E1" s="64"/>
      <c r="F1" s="64"/>
      <c r="G1" s="64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53">
        <f>2/12</f>
        <v>0.16666666666666666</v>
      </c>
    </row>
    <row r="2" spans="1:22" s="76" customFormat="1" ht="37.5" customHeight="1" thickBot="1" x14ac:dyDescent="0.25">
      <c r="A2" s="75"/>
      <c r="B2" s="75"/>
      <c r="C2" s="75"/>
      <c r="D2" s="75"/>
      <c r="E2" s="75"/>
      <c r="F2" s="75"/>
      <c r="G2" s="75"/>
      <c r="H2" s="54" t="s">
        <v>200</v>
      </c>
      <c r="I2" s="55"/>
      <c r="J2" s="56" t="s">
        <v>201</v>
      </c>
      <c r="K2" s="55"/>
      <c r="L2" s="57" t="s">
        <v>302</v>
      </c>
      <c r="M2" s="58"/>
      <c r="N2" s="54" t="s">
        <v>197</v>
      </c>
      <c r="O2" s="55"/>
      <c r="P2" s="56" t="s">
        <v>49</v>
      </c>
      <c r="Q2" s="55"/>
      <c r="R2" s="57" t="s">
        <v>198</v>
      </c>
      <c r="S2" s="58"/>
      <c r="T2" s="54" t="s">
        <v>50</v>
      </c>
      <c r="U2" s="59"/>
      <c r="V2" s="57" t="s">
        <v>199</v>
      </c>
    </row>
    <row r="3" spans="1:22" ht="15" customHeight="1" x14ac:dyDescent="0.2">
      <c r="A3" s="64"/>
      <c r="B3" s="64" t="s">
        <v>51</v>
      </c>
      <c r="C3" s="64"/>
      <c r="D3" s="64"/>
      <c r="E3" s="64"/>
      <c r="F3" s="64"/>
      <c r="G3" s="64"/>
      <c r="H3" s="77"/>
      <c r="I3" s="64"/>
      <c r="J3" s="77"/>
      <c r="K3" s="64"/>
      <c r="L3" s="78"/>
      <c r="M3" s="64"/>
      <c r="N3" s="77"/>
      <c r="O3" s="64"/>
      <c r="P3" s="77"/>
      <c r="Q3" s="64"/>
      <c r="R3" s="78"/>
      <c r="S3" s="64"/>
      <c r="T3" s="77"/>
    </row>
    <row r="4" spans="1:22" ht="15" customHeight="1" x14ac:dyDescent="0.2">
      <c r="A4" s="64"/>
      <c r="B4" s="64"/>
      <c r="C4" s="64"/>
      <c r="D4" s="64" t="s">
        <v>52</v>
      </c>
      <c r="E4" s="64"/>
      <c r="F4" s="64"/>
      <c r="G4" s="64"/>
      <c r="H4" s="77"/>
      <c r="I4" s="64"/>
      <c r="J4" s="77"/>
      <c r="K4" s="64"/>
      <c r="L4" s="78"/>
      <c r="M4" s="64"/>
      <c r="N4" s="77"/>
      <c r="O4" s="64"/>
      <c r="P4" s="77"/>
      <c r="Q4" s="64"/>
      <c r="R4" s="78"/>
      <c r="S4" s="64"/>
      <c r="T4" s="77"/>
    </row>
    <row r="5" spans="1:22" ht="15" customHeight="1" x14ac:dyDescent="0.2">
      <c r="A5" s="64"/>
      <c r="B5" s="64"/>
      <c r="C5" s="64"/>
      <c r="D5" s="64"/>
      <c r="E5" s="64" t="s">
        <v>53</v>
      </c>
      <c r="F5" s="64"/>
      <c r="G5" s="64"/>
      <c r="H5" s="77"/>
      <c r="I5" s="64"/>
      <c r="J5" s="77"/>
      <c r="K5" s="64"/>
      <c r="L5" s="78"/>
      <c r="M5" s="64"/>
      <c r="N5" s="77"/>
      <c r="O5" s="64"/>
      <c r="P5" s="77"/>
      <c r="Q5" s="64"/>
      <c r="R5" s="78"/>
      <c r="S5" s="64"/>
      <c r="T5" s="77"/>
    </row>
    <row r="6" spans="1:22" ht="15" customHeight="1" x14ac:dyDescent="0.2">
      <c r="A6" s="64"/>
      <c r="B6" s="64"/>
      <c r="C6" s="64"/>
      <c r="D6" s="64"/>
      <c r="E6" s="64"/>
      <c r="F6" s="64" t="s">
        <v>54</v>
      </c>
      <c r="G6" s="64"/>
      <c r="H6" s="77">
        <v>22</v>
      </c>
      <c r="I6" s="64"/>
      <c r="J6" s="77">
        <v>10</v>
      </c>
      <c r="K6" s="64"/>
      <c r="L6" s="78">
        <f t="shared" ref="L6:L12" si="0">ROUND(IF(J6=0, IF(H6=0, 0, 1), H6/J6),5)</f>
        <v>2.2000000000000002</v>
      </c>
      <c r="M6" s="64"/>
      <c r="N6" s="77">
        <v>48</v>
      </c>
      <c r="O6" s="64"/>
      <c r="P6" s="77">
        <v>20</v>
      </c>
      <c r="Q6" s="64"/>
      <c r="R6" s="78">
        <f t="shared" ref="R6:R12" si="1">ROUND(IF(P6=0, IF(N6=0, 0, 1), N6/P6),5)</f>
        <v>2.4</v>
      </c>
      <c r="S6" s="64"/>
      <c r="T6" s="77">
        <v>1110</v>
      </c>
      <c r="V6" s="78">
        <f>ROUND(IF(T6=0, IF(N6=0, 0, 1), N6/T6),5)</f>
        <v>4.3240000000000001E-2</v>
      </c>
    </row>
    <row r="7" spans="1:22" ht="15" customHeight="1" x14ac:dyDescent="0.2">
      <c r="A7" s="64"/>
      <c r="B7" s="64"/>
      <c r="C7" s="64"/>
      <c r="D7" s="64"/>
      <c r="E7" s="64"/>
      <c r="F7" s="64" t="s">
        <v>55</v>
      </c>
      <c r="G7" s="64"/>
      <c r="H7" s="77">
        <v>13025</v>
      </c>
      <c r="I7" s="64"/>
      <c r="J7" s="77">
        <v>7500</v>
      </c>
      <c r="K7" s="64"/>
      <c r="L7" s="78">
        <f t="shared" si="0"/>
        <v>1.7366699999999999</v>
      </c>
      <c r="M7" s="64"/>
      <c r="N7" s="77">
        <v>13925</v>
      </c>
      <c r="O7" s="64"/>
      <c r="P7" s="77">
        <v>7500</v>
      </c>
      <c r="Q7" s="64"/>
      <c r="R7" s="78">
        <f t="shared" si="1"/>
        <v>1.85667</v>
      </c>
      <c r="S7" s="64"/>
      <c r="T7" s="77">
        <v>78500</v>
      </c>
      <c r="V7" s="78">
        <f t="shared" ref="V7:V31" si="2">ROUND(IF(T7=0, IF(N7=0, 0, 1), N7/T7),5)</f>
        <v>0.17738999999999999</v>
      </c>
    </row>
    <row r="8" spans="1:22" ht="15" customHeight="1" x14ac:dyDescent="0.2">
      <c r="A8" s="64"/>
      <c r="B8" s="64"/>
      <c r="C8" s="64"/>
      <c r="D8" s="64"/>
      <c r="E8" s="64"/>
      <c r="F8" s="64" t="s">
        <v>56</v>
      </c>
      <c r="G8" s="64"/>
      <c r="H8" s="77">
        <v>0</v>
      </c>
      <c r="I8" s="64"/>
      <c r="J8" s="77">
        <v>0</v>
      </c>
      <c r="K8" s="64"/>
      <c r="L8" s="78">
        <f t="shared" si="0"/>
        <v>0</v>
      </c>
      <c r="M8" s="64"/>
      <c r="N8" s="77">
        <v>0</v>
      </c>
      <c r="O8" s="64"/>
      <c r="P8" s="77">
        <v>0</v>
      </c>
      <c r="Q8" s="64"/>
      <c r="R8" s="78">
        <f t="shared" si="1"/>
        <v>0</v>
      </c>
      <c r="S8" s="64"/>
      <c r="T8" s="77">
        <v>69000</v>
      </c>
      <c r="V8" s="78">
        <f t="shared" si="2"/>
        <v>0</v>
      </c>
    </row>
    <row r="9" spans="1:22" ht="15" customHeight="1" x14ac:dyDescent="0.2">
      <c r="A9" s="64"/>
      <c r="B9" s="64"/>
      <c r="C9" s="64"/>
      <c r="D9" s="64"/>
      <c r="E9" s="64"/>
      <c r="F9" s="64" t="s">
        <v>57</v>
      </c>
      <c r="G9" s="64"/>
      <c r="H9" s="77">
        <f>376000-H10</f>
        <v>106000</v>
      </c>
      <c r="I9" s="64"/>
      <c r="J9" s="77">
        <v>105000</v>
      </c>
      <c r="K9" s="64"/>
      <c r="L9" s="78">
        <f t="shared" si="0"/>
        <v>1.00952</v>
      </c>
      <c r="M9" s="64"/>
      <c r="N9" s="77">
        <f>376000-N10</f>
        <v>106000</v>
      </c>
      <c r="O9" s="64"/>
      <c r="P9" s="77">
        <v>105000</v>
      </c>
      <c r="Q9" s="64"/>
      <c r="R9" s="78">
        <f t="shared" si="1"/>
        <v>1.00952</v>
      </c>
      <c r="S9" s="64"/>
      <c r="T9" s="77">
        <v>161000</v>
      </c>
      <c r="V9" s="78">
        <f t="shared" si="2"/>
        <v>0.65839000000000003</v>
      </c>
    </row>
    <row r="10" spans="1:22" ht="15" customHeight="1" x14ac:dyDescent="0.2">
      <c r="A10" s="64"/>
      <c r="B10" s="64"/>
      <c r="C10" s="64"/>
      <c r="D10" s="64"/>
      <c r="E10" s="64"/>
      <c r="F10" s="64" t="s">
        <v>202</v>
      </c>
      <c r="G10" s="64"/>
      <c r="H10" s="77">
        <v>270000</v>
      </c>
      <c r="I10" s="64"/>
      <c r="J10" s="77">
        <v>0</v>
      </c>
      <c r="K10" s="64"/>
      <c r="L10" s="78">
        <f t="shared" si="0"/>
        <v>1</v>
      </c>
      <c r="M10" s="64"/>
      <c r="N10" s="77">
        <v>270000</v>
      </c>
      <c r="O10" s="64"/>
      <c r="P10" s="77">
        <v>0</v>
      </c>
      <c r="Q10" s="64"/>
      <c r="R10" s="78">
        <f t="shared" si="1"/>
        <v>1</v>
      </c>
      <c r="S10" s="64"/>
      <c r="T10" s="77">
        <v>0</v>
      </c>
      <c r="V10" s="78">
        <f t="shared" si="2"/>
        <v>1</v>
      </c>
    </row>
    <row r="11" spans="1:22" ht="15" customHeight="1" thickBot="1" x14ac:dyDescent="0.25">
      <c r="A11" s="64"/>
      <c r="B11" s="64"/>
      <c r="C11" s="64"/>
      <c r="D11" s="64"/>
      <c r="E11" s="64"/>
      <c r="F11" s="64" t="s">
        <v>58</v>
      </c>
      <c r="G11" s="64"/>
      <c r="H11" s="80">
        <f>4000+4000</f>
        <v>8000</v>
      </c>
      <c r="I11" s="64"/>
      <c r="J11" s="80">
        <v>42000</v>
      </c>
      <c r="K11" s="64"/>
      <c r="L11" s="81">
        <f t="shared" si="0"/>
        <v>0.19048000000000001</v>
      </c>
      <c r="M11" s="64"/>
      <c r="N11" s="80">
        <f>4000+4000</f>
        <v>8000</v>
      </c>
      <c r="O11" s="64"/>
      <c r="P11" s="80">
        <v>42000</v>
      </c>
      <c r="Q11" s="64"/>
      <c r="R11" s="81">
        <f t="shared" si="1"/>
        <v>0.19048000000000001</v>
      </c>
      <c r="S11" s="64"/>
      <c r="T11" s="80">
        <v>149000</v>
      </c>
      <c r="V11" s="81">
        <f t="shared" si="2"/>
        <v>5.3690000000000002E-2</v>
      </c>
    </row>
    <row r="12" spans="1:22" ht="15" customHeight="1" x14ac:dyDescent="0.2">
      <c r="A12" s="64"/>
      <c r="B12" s="64"/>
      <c r="C12" s="64"/>
      <c r="D12" s="64"/>
      <c r="E12" s="64" t="s">
        <v>59</v>
      </c>
      <c r="F12" s="64"/>
      <c r="G12" s="64"/>
      <c r="H12" s="77">
        <f>ROUND(SUM(H5:H11),5)</f>
        <v>397047</v>
      </c>
      <c r="I12" s="64"/>
      <c r="J12" s="77">
        <f>ROUND(SUM(J5:J11),5)</f>
        <v>154510</v>
      </c>
      <c r="K12" s="64"/>
      <c r="L12" s="78">
        <f t="shared" si="0"/>
        <v>2.5697199999999998</v>
      </c>
      <c r="M12" s="64"/>
      <c r="N12" s="77">
        <f>ROUND(SUM(N5:N11),5)</f>
        <v>397973</v>
      </c>
      <c r="O12" s="64"/>
      <c r="P12" s="77">
        <f>ROUND(SUM(P5:P11),5)</f>
        <v>154520</v>
      </c>
      <c r="Q12" s="64"/>
      <c r="R12" s="78">
        <f t="shared" si="1"/>
        <v>2.5755400000000002</v>
      </c>
      <c r="S12" s="64"/>
      <c r="T12" s="77">
        <f>ROUND(SUM(T5:T11),5)</f>
        <v>458610</v>
      </c>
      <c r="V12" s="78">
        <f t="shared" si="2"/>
        <v>0.86778</v>
      </c>
    </row>
    <row r="13" spans="1:22" ht="15" customHeight="1" x14ac:dyDescent="0.2">
      <c r="A13" s="64"/>
      <c r="B13" s="64"/>
      <c r="C13" s="64"/>
      <c r="D13" s="64"/>
      <c r="E13" s="64" t="s">
        <v>60</v>
      </c>
      <c r="F13" s="64"/>
      <c r="G13" s="64"/>
      <c r="H13" s="77"/>
      <c r="I13" s="64"/>
      <c r="J13" s="77"/>
      <c r="K13" s="64"/>
      <c r="L13" s="78"/>
      <c r="M13" s="64"/>
      <c r="N13" s="77"/>
      <c r="O13" s="64"/>
      <c r="P13" s="77"/>
      <c r="Q13" s="64"/>
      <c r="R13" s="78"/>
      <c r="S13" s="64"/>
      <c r="T13" s="77"/>
      <c r="V13" s="78"/>
    </row>
    <row r="14" spans="1:22" ht="15" customHeight="1" x14ac:dyDescent="0.2">
      <c r="A14" s="64"/>
      <c r="B14" s="64"/>
      <c r="C14" s="64"/>
      <c r="D14" s="64"/>
      <c r="E14" s="64"/>
      <c r="F14" s="64" t="s">
        <v>61</v>
      </c>
      <c r="G14" s="64"/>
      <c r="H14" s="77">
        <v>6484</v>
      </c>
      <c r="I14" s="64"/>
      <c r="J14" s="77">
        <v>11100</v>
      </c>
      <c r="K14" s="64"/>
      <c r="L14" s="78">
        <f t="shared" ref="L14:L19" si="3">ROUND(IF(J14=0, IF(H14=0, 0, 1), H14/J14),5)</f>
        <v>0.58413999999999999</v>
      </c>
      <c r="M14" s="64"/>
      <c r="N14" s="77">
        <v>9089</v>
      </c>
      <c r="O14" s="64"/>
      <c r="P14" s="77">
        <v>12100</v>
      </c>
      <c r="Q14" s="64"/>
      <c r="R14" s="78">
        <f t="shared" ref="R14:R19" si="4">ROUND(IF(P14=0, IF(N14=0, 0, 1), N14/P14),5)</f>
        <v>0.75116000000000005</v>
      </c>
      <c r="S14" s="64"/>
      <c r="T14" s="77">
        <v>125000</v>
      </c>
      <c r="V14" s="78">
        <f t="shared" si="2"/>
        <v>7.2709999999999997E-2</v>
      </c>
    </row>
    <row r="15" spans="1:22" ht="15" customHeight="1" x14ac:dyDescent="0.2">
      <c r="A15" s="64"/>
      <c r="B15" s="64"/>
      <c r="C15" s="64"/>
      <c r="D15" s="64"/>
      <c r="E15" s="64"/>
      <c r="F15" s="64" t="s">
        <v>62</v>
      </c>
      <c r="G15" s="64"/>
      <c r="H15" s="77">
        <v>175</v>
      </c>
      <c r="I15" s="64"/>
      <c r="J15" s="77">
        <v>350</v>
      </c>
      <c r="K15" s="64"/>
      <c r="L15" s="78">
        <f t="shared" si="3"/>
        <v>0.5</v>
      </c>
      <c r="M15" s="64"/>
      <c r="N15" s="77">
        <v>575</v>
      </c>
      <c r="O15" s="64"/>
      <c r="P15" s="77">
        <v>425</v>
      </c>
      <c r="Q15" s="64"/>
      <c r="R15" s="78">
        <f t="shared" si="4"/>
        <v>1.35294</v>
      </c>
      <c r="S15" s="64"/>
      <c r="T15" s="77">
        <v>1700</v>
      </c>
      <c r="V15" s="78">
        <f t="shared" si="2"/>
        <v>0.33823999999999999</v>
      </c>
    </row>
    <row r="16" spans="1:22" ht="15" customHeight="1" x14ac:dyDescent="0.2">
      <c r="A16" s="64"/>
      <c r="B16" s="64"/>
      <c r="C16" s="64"/>
      <c r="D16" s="64"/>
      <c r="E16" s="64"/>
      <c r="F16" s="64" t="s">
        <v>63</v>
      </c>
      <c r="G16" s="64"/>
      <c r="H16" s="77">
        <v>9600</v>
      </c>
      <c r="I16" s="64"/>
      <c r="J16" s="77">
        <v>9600</v>
      </c>
      <c r="K16" s="64"/>
      <c r="L16" s="78">
        <f t="shared" si="3"/>
        <v>1</v>
      </c>
      <c r="M16" s="64"/>
      <c r="N16" s="77">
        <v>9600</v>
      </c>
      <c r="O16" s="64"/>
      <c r="P16" s="77">
        <v>9600</v>
      </c>
      <c r="Q16" s="64"/>
      <c r="R16" s="78">
        <f t="shared" si="4"/>
        <v>1</v>
      </c>
      <c r="S16" s="64"/>
      <c r="T16" s="77">
        <v>20250</v>
      </c>
      <c r="V16" s="78">
        <f t="shared" si="2"/>
        <v>0.47406999999999999</v>
      </c>
    </row>
    <row r="17" spans="1:22" ht="15" customHeight="1" x14ac:dyDescent="0.2">
      <c r="A17" s="64"/>
      <c r="B17" s="64"/>
      <c r="C17" s="64"/>
      <c r="D17" s="64"/>
      <c r="E17" s="64"/>
      <c r="F17" s="64" t="s">
        <v>64</v>
      </c>
      <c r="G17" s="64"/>
      <c r="H17" s="77">
        <v>175</v>
      </c>
      <c r="I17" s="64"/>
      <c r="J17" s="77">
        <v>0</v>
      </c>
      <c r="K17" s="64"/>
      <c r="L17" s="78">
        <f t="shared" si="3"/>
        <v>1</v>
      </c>
      <c r="M17" s="64"/>
      <c r="N17" s="77">
        <v>1325</v>
      </c>
      <c r="O17" s="64"/>
      <c r="P17" s="77">
        <v>0</v>
      </c>
      <c r="Q17" s="64"/>
      <c r="R17" s="78">
        <f t="shared" si="4"/>
        <v>1</v>
      </c>
      <c r="S17" s="64"/>
      <c r="T17" s="77">
        <v>0</v>
      </c>
      <c r="V17" s="78">
        <f t="shared" si="2"/>
        <v>1</v>
      </c>
    </row>
    <row r="18" spans="1:22" ht="15" customHeight="1" thickBot="1" x14ac:dyDescent="0.25">
      <c r="A18" s="64"/>
      <c r="B18" s="64"/>
      <c r="C18" s="64"/>
      <c r="D18" s="64"/>
      <c r="E18" s="64"/>
      <c r="F18" s="64" t="s">
        <v>65</v>
      </c>
      <c r="G18" s="64"/>
      <c r="H18" s="80">
        <v>109</v>
      </c>
      <c r="I18" s="64"/>
      <c r="J18" s="80">
        <v>250</v>
      </c>
      <c r="K18" s="64"/>
      <c r="L18" s="81">
        <f t="shared" si="3"/>
        <v>0.436</v>
      </c>
      <c r="M18" s="64"/>
      <c r="N18" s="80">
        <v>109</v>
      </c>
      <c r="O18" s="64"/>
      <c r="P18" s="80">
        <v>250</v>
      </c>
      <c r="Q18" s="64"/>
      <c r="R18" s="81">
        <f t="shared" si="4"/>
        <v>0.436</v>
      </c>
      <c r="S18" s="64"/>
      <c r="T18" s="80">
        <v>800</v>
      </c>
      <c r="V18" s="81">
        <f t="shared" si="2"/>
        <v>0.13625000000000001</v>
      </c>
    </row>
    <row r="19" spans="1:22" ht="15" customHeight="1" x14ac:dyDescent="0.2">
      <c r="A19" s="64"/>
      <c r="B19" s="64"/>
      <c r="C19" s="64"/>
      <c r="D19" s="64"/>
      <c r="E19" s="64" t="s">
        <v>66</v>
      </c>
      <c r="F19" s="64"/>
      <c r="G19" s="64"/>
      <c r="H19" s="77">
        <f>ROUND(SUM(H13:H18),5)</f>
        <v>16543</v>
      </c>
      <c r="I19" s="64"/>
      <c r="J19" s="77">
        <f>ROUND(SUM(J13:J18),5)</f>
        <v>21300</v>
      </c>
      <c r="K19" s="64"/>
      <c r="L19" s="78">
        <f t="shared" si="3"/>
        <v>0.77666999999999997</v>
      </c>
      <c r="M19" s="64"/>
      <c r="N19" s="77">
        <f>ROUND(SUM(N13:N18),5)</f>
        <v>20698</v>
      </c>
      <c r="O19" s="64"/>
      <c r="P19" s="77">
        <f>ROUND(SUM(P13:P18),5)</f>
        <v>22375</v>
      </c>
      <c r="Q19" s="64"/>
      <c r="R19" s="78">
        <f t="shared" si="4"/>
        <v>0.92505000000000004</v>
      </c>
      <c r="S19" s="64"/>
      <c r="T19" s="77">
        <f>ROUND(SUM(T13:T18),5)</f>
        <v>147750</v>
      </c>
      <c r="V19" s="78">
        <f t="shared" si="2"/>
        <v>0.14008999999999999</v>
      </c>
    </row>
    <row r="20" spans="1:22" ht="15" customHeight="1" x14ac:dyDescent="0.2">
      <c r="A20" s="64"/>
      <c r="B20" s="64"/>
      <c r="C20" s="64"/>
      <c r="D20" s="64"/>
      <c r="E20" s="64" t="s">
        <v>67</v>
      </c>
      <c r="F20" s="64"/>
      <c r="G20" s="64"/>
      <c r="H20" s="77"/>
      <c r="I20" s="64"/>
      <c r="J20" s="77"/>
      <c r="K20" s="64"/>
      <c r="L20" s="78"/>
      <c r="M20" s="64"/>
      <c r="N20" s="77"/>
      <c r="O20" s="64"/>
      <c r="P20" s="77"/>
      <c r="Q20" s="64"/>
      <c r="R20" s="78"/>
      <c r="S20" s="64"/>
      <c r="T20" s="77"/>
      <c r="V20" s="78"/>
    </row>
    <row r="21" spans="1:22" ht="15" customHeight="1" x14ac:dyDescent="0.2">
      <c r="A21" s="64"/>
      <c r="B21" s="64"/>
      <c r="C21" s="64"/>
      <c r="D21" s="64"/>
      <c r="E21" s="64"/>
      <c r="F21" s="64" t="s">
        <v>68</v>
      </c>
      <c r="G21" s="64"/>
      <c r="H21" s="77">
        <v>3900</v>
      </c>
      <c r="I21" s="64"/>
      <c r="J21" s="77">
        <v>5075</v>
      </c>
      <c r="K21" s="64"/>
      <c r="L21" s="78">
        <f>ROUND(IF(J21=0, IF(H21=0, 0, 1), H21/J21),5)</f>
        <v>0.76846999999999999</v>
      </c>
      <c r="M21" s="64"/>
      <c r="N21" s="77">
        <v>8350</v>
      </c>
      <c r="O21" s="64"/>
      <c r="P21" s="77">
        <v>8925</v>
      </c>
      <c r="Q21" s="64"/>
      <c r="R21" s="78">
        <f>ROUND(IF(P21=0, IF(N21=0, 0, 1), N21/P21),5)</f>
        <v>0.93557000000000001</v>
      </c>
      <c r="S21" s="64"/>
      <c r="T21" s="77">
        <v>53870</v>
      </c>
      <c r="V21" s="78">
        <f t="shared" si="2"/>
        <v>0.155</v>
      </c>
    </row>
    <row r="22" spans="1:22" ht="15" customHeight="1" x14ac:dyDescent="0.2">
      <c r="A22" s="64"/>
      <c r="B22" s="64"/>
      <c r="C22" s="64"/>
      <c r="D22" s="64"/>
      <c r="E22" s="64"/>
      <c r="F22" s="64" t="s">
        <v>69</v>
      </c>
      <c r="G22" s="64"/>
      <c r="H22" s="77">
        <v>0</v>
      </c>
      <c r="I22" s="64"/>
      <c r="J22" s="77">
        <v>110</v>
      </c>
      <c r="K22" s="64"/>
      <c r="L22" s="78">
        <f>ROUND(IF(J22=0, IF(H22=0, 0, 1), H22/J22),5)</f>
        <v>0</v>
      </c>
      <c r="M22" s="64"/>
      <c r="N22" s="77">
        <v>375</v>
      </c>
      <c r="O22" s="64"/>
      <c r="P22" s="77">
        <v>220</v>
      </c>
      <c r="Q22" s="64"/>
      <c r="R22" s="78">
        <f>ROUND(IF(P22=0, IF(N22=0, 0, 1), N22/P22),5)</f>
        <v>1.70455</v>
      </c>
      <c r="S22" s="64"/>
      <c r="T22" s="77">
        <v>1760</v>
      </c>
      <c r="V22" s="78">
        <f t="shared" si="2"/>
        <v>0.21307000000000001</v>
      </c>
    </row>
    <row r="23" spans="1:22" ht="15" customHeight="1" thickBot="1" x14ac:dyDescent="0.25">
      <c r="A23" s="64"/>
      <c r="B23" s="64"/>
      <c r="C23" s="64"/>
      <c r="D23" s="64"/>
      <c r="E23" s="64"/>
      <c r="F23" s="64" t="s">
        <v>70</v>
      </c>
      <c r="G23" s="64"/>
      <c r="H23" s="80">
        <v>55</v>
      </c>
      <c r="I23" s="64"/>
      <c r="J23" s="80">
        <v>0</v>
      </c>
      <c r="K23" s="64"/>
      <c r="L23" s="81">
        <f>ROUND(IF(J23=0, IF(H23=0, 0, 1), H23/J23),5)</f>
        <v>1</v>
      </c>
      <c r="M23" s="64"/>
      <c r="N23" s="80">
        <v>235</v>
      </c>
      <c r="O23" s="64"/>
      <c r="P23" s="80">
        <v>0</v>
      </c>
      <c r="Q23" s="64"/>
      <c r="R23" s="81">
        <f>ROUND(IF(P23=0, IF(N23=0, 0, 1), N23/P23),5)</f>
        <v>1</v>
      </c>
      <c r="S23" s="64"/>
      <c r="T23" s="80">
        <v>1380</v>
      </c>
      <c r="V23" s="81">
        <f t="shared" si="2"/>
        <v>0.17029</v>
      </c>
    </row>
    <row r="24" spans="1:22" ht="15" customHeight="1" x14ac:dyDescent="0.2">
      <c r="A24" s="64"/>
      <c r="B24" s="64"/>
      <c r="C24" s="64"/>
      <c r="D24" s="64"/>
      <c r="E24" s="64" t="s">
        <v>71</v>
      </c>
      <c r="F24" s="64"/>
      <c r="G24" s="64"/>
      <c r="H24" s="77">
        <f>ROUND(SUM(H20:H23),5)</f>
        <v>3955</v>
      </c>
      <c r="I24" s="64"/>
      <c r="J24" s="77">
        <f>ROUND(SUM(J20:J23),5)</f>
        <v>5185</v>
      </c>
      <c r="K24" s="64"/>
      <c r="L24" s="78">
        <f>ROUND(IF(J24=0, IF(H24=0, 0, 1), H24/J24),5)</f>
        <v>0.76278000000000001</v>
      </c>
      <c r="M24" s="64"/>
      <c r="N24" s="77">
        <f>ROUND(SUM(N20:N23),5)</f>
        <v>8960</v>
      </c>
      <c r="O24" s="64"/>
      <c r="P24" s="77">
        <f>ROUND(SUM(P20:P23),5)</f>
        <v>9145</v>
      </c>
      <c r="Q24" s="64"/>
      <c r="R24" s="78">
        <f>ROUND(IF(P24=0, IF(N24=0, 0, 1), N24/P24),5)</f>
        <v>0.97977000000000003</v>
      </c>
      <c r="S24" s="64"/>
      <c r="T24" s="77">
        <f>ROUND(SUM(T20:T23),5)</f>
        <v>57010</v>
      </c>
      <c r="V24" s="78">
        <f t="shared" si="2"/>
        <v>0.15717</v>
      </c>
    </row>
    <row r="25" spans="1:22" ht="15" customHeight="1" x14ac:dyDescent="0.2">
      <c r="A25" s="64"/>
      <c r="B25" s="64"/>
      <c r="C25" s="64"/>
      <c r="D25" s="64"/>
      <c r="E25" s="64" t="s">
        <v>72</v>
      </c>
      <c r="F25" s="64"/>
      <c r="G25" s="64"/>
      <c r="H25" s="77"/>
      <c r="I25" s="64"/>
      <c r="J25" s="77"/>
      <c r="K25" s="64"/>
      <c r="L25" s="78"/>
      <c r="M25" s="64"/>
      <c r="N25" s="77"/>
      <c r="O25" s="64"/>
      <c r="P25" s="77"/>
      <c r="Q25" s="64"/>
      <c r="R25" s="78"/>
      <c r="S25" s="64"/>
      <c r="T25" s="77"/>
      <c r="V25" s="78"/>
    </row>
    <row r="26" spans="1:22" ht="15" customHeight="1" x14ac:dyDescent="0.2">
      <c r="A26" s="64"/>
      <c r="B26" s="64"/>
      <c r="C26" s="64"/>
      <c r="D26" s="64"/>
      <c r="E26" s="64"/>
      <c r="F26" s="64" t="s">
        <v>73</v>
      </c>
      <c r="G26" s="64"/>
      <c r="H26" s="77">
        <v>5506</v>
      </c>
      <c r="I26" s="64"/>
      <c r="J26" s="77">
        <v>5500</v>
      </c>
      <c r="K26" s="64"/>
      <c r="L26" s="78">
        <f t="shared" ref="L26:L31" si="5">ROUND(IF(J26=0, IF(H26=0, 0, 1), H26/J26),5)</f>
        <v>1.00109</v>
      </c>
      <c r="M26" s="64"/>
      <c r="N26" s="77">
        <v>10248</v>
      </c>
      <c r="O26" s="64"/>
      <c r="P26" s="77">
        <v>11800</v>
      </c>
      <c r="Q26" s="64"/>
      <c r="R26" s="78">
        <f t="shared" ref="R26:R31" si="6">ROUND(IF(P26=0, IF(N26=0, 0, 1), N26/P26),5)</f>
        <v>0.86846999999999996</v>
      </c>
      <c r="S26" s="64"/>
      <c r="T26" s="77">
        <v>60900</v>
      </c>
      <c r="V26" s="78">
        <f t="shared" si="2"/>
        <v>0.16828000000000001</v>
      </c>
    </row>
    <row r="27" spans="1:22" ht="15" customHeight="1" x14ac:dyDescent="0.2">
      <c r="A27" s="64"/>
      <c r="B27" s="64"/>
      <c r="C27" s="64"/>
      <c r="D27" s="64"/>
      <c r="E27" s="64"/>
      <c r="F27" s="64" t="s">
        <v>74</v>
      </c>
      <c r="G27" s="64"/>
      <c r="H27" s="77">
        <v>0</v>
      </c>
      <c r="I27" s="64"/>
      <c r="J27" s="77">
        <v>500</v>
      </c>
      <c r="K27" s="64"/>
      <c r="L27" s="78">
        <f t="shared" si="5"/>
        <v>0</v>
      </c>
      <c r="M27" s="64"/>
      <c r="N27" s="77">
        <v>350</v>
      </c>
      <c r="O27" s="64"/>
      <c r="P27" s="77">
        <v>1000</v>
      </c>
      <c r="Q27" s="64"/>
      <c r="R27" s="78">
        <f t="shared" si="6"/>
        <v>0.35</v>
      </c>
      <c r="S27" s="64"/>
      <c r="T27" s="77">
        <v>10000</v>
      </c>
      <c r="V27" s="78">
        <f t="shared" si="2"/>
        <v>3.5000000000000003E-2</v>
      </c>
    </row>
    <row r="28" spans="1:22" ht="15" customHeight="1" x14ac:dyDescent="0.2">
      <c r="A28" s="64"/>
      <c r="B28" s="64"/>
      <c r="C28" s="64"/>
      <c r="D28" s="64"/>
      <c r="E28" s="64"/>
      <c r="F28" s="64" t="s">
        <v>75</v>
      </c>
      <c r="G28" s="64"/>
      <c r="H28" s="77">
        <v>0</v>
      </c>
      <c r="I28" s="64"/>
      <c r="J28" s="77">
        <v>0</v>
      </c>
      <c r="K28" s="64"/>
      <c r="L28" s="78">
        <f t="shared" si="5"/>
        <v>0</v>
      </c>
      <c r="M28" s="64"/>
      <c r="N28" s="77">
        <v>0</v>
      </c>
      <c r="O28" s="64"/>
      <c r="P28" s="77">
        <v>0</v>
      </c>
      <c r="Q28" s="64"/>
      <c r="R28" s="78">
        <f t="shared" si="6"/>
        <v>0</v>
      </c>
      <c r="S28" s="64"/>
      <c r="T28" s="77">
        <v>3250</v>
      </c>
      <c r="V28" s="78">
        <f t="shared" si="2"/>
        <v>0</v>
      </c>
    </row>
    <row r="29" spans="1:22" ht="15" customHeight="1" x14ac:dyDescent="0.2">
      <c r="A29" s="64"/>
      <c r="B29" s="64"/>
      <c r="C29" s="64"/>
      <c r="D29" s="64"/>
      <c r="E29" s="64"/>
      <c r="F29" s="64" t="s">
        <v>76</v>
      </c>
      <c r="G29" s="64"/>
      <c r="H29" s="77">
        <v>160</v>
      </c>
      <c r="I29" s="64"/>
      <c r="J29" s="77">
        <v>120</v>
      </c>
      <c r="K29" s="64"/>
      <c r="L29" s="78">
        <f t="shared" si="5"/>
        <v>1.3333299999999999</v>
      </c>
      <c r="M29" s="64"/>
      <c r="N29" s="77">
        <v>280</v>
      </c>
      <c r="O29" s="64"/>
      <c r="P29" s="77">
        <v>200</v>
      </c>
      <c r="Q29" s="64"/>
      <c r="R29" s="78">
        <f t="shared" si="6"/>
        <v>1.4</v>
      </c>
      <c r="S29" s="64"/>
      <c r="T29" s="77">
        <v>1040</v>
      </c>
      <c r="V29" s="78">
        <f t="shared" si="2"/>
        <v>0.26923000000000002</v>
      </c>
    </row>
    <row r="30" spans="1:22" ht="15" customHeight="1" thickBot="1" x14ac:dyDescent="0.25">
      <c r="A30" s="64"/>
      <c r="B30" s="64"/>
      <c r="C30" s="64"/>
      <c r="D30" s="64"/>
      <c r="E30" s="64"/>
      <c r="F30" s="64" t="s">
        <v>77</v>
      </c>
      <c r="G30" s="64"/>
      <c r="H30" s="80">
        <v>114</v>
      </c>
      <c r="I30" s="64"/>
      <c r="J30" s="80">
        <v>200</v>
      </c>
      <c r="K30" s="64"/>
      <c r="L30" s="81">
        <f t="shared" si="5"/>
        <v>0.56999999999999995</v>
      </c>
      <c r="M30" s="64"/>
      <c r="N30" s="80">
        <v>1163</v>
      </c>
      <c r="O30" s="64"/>
      <c r="P30" s="80">
        <v>600</v>
      </c>
      <c r="Q30" s="64"/>
      <c r="R30" s="81">
        <f t="shared" si="6"/>
        <v>1.9383300000000001</v>
      </c>
      <c r="S30" s="64"/>
      <c r="T30" s="80">
        <v>5000</v>
      </c>
      <c r="V30" s="81">
        <f t="shared" si="2"/>
        <v>0.2326</v>
      </c>
    </row>
    <row r="31" spans="1:22" ht="15" customHeight="1" x14ac:dyDescent="0.2">
      <c r="A31" s="64"/>
      <c r="B31" s="64"/>
      <c r="C31" s="64"/>
      <c r="D31" s="64"/>
      <c r="E31" s="64" t="s">
        <v>78</v>
      </c>
      <c r="F31" s="64"/>
      <c r="G31" s="64"/>
      <c r="H31" s="77">
        <f>ROUND(SUM(H25:H30),5)</f>
        <v>5780</v>
      </c>
      <c r="I31" s="64"/>
      <c r="J31" s="77">
        <f>ROUND(SUM(J25:J30),5)</f>
        <v>6320</v>
      </c>
      <c r="K31" s="64"/>
      <c r="L31" s="78">
        <f t="shared" si="5"/>
        <v>0.91456000000000004</v>
      </c>
      <c r="M31" s="64"/>
      <c r="N31" s="77">
        <f>ROUND(SUM(N25:N30),5)</f>
        <v>12041</v>
      </c>
      <c r="O31" s="64"/>
      <c r="P31" s="77">
        <f>ROUND(SUM(P25:P30),5)</f>
        <v>13600</v>
      </c>
      <c r="Q31" s="64"/>
      <c r="R31" s="78">
        <f t="shared" si="6"/>
        <v>0.88536999999999999</v>
      </c>
      <c r="S31" s="64"/>
      <c r="T31" s="77">
        <f>ROUND(SUM(T25:T30),5)</f>
        <v>80190</v>
      </c>
      <c r="V31" s="78">
        <f t="shared" si="2"/>
        <v>0.15015999999999999</v>
      </c>
    </row>
    <row r="32" spans="1:22" ht="15" customHeight="1" x14ac:dyDescent="0.2">
      <c r="A32" s="64"/>
      <c r="B32" s="64"/>
      <c r="C32" s="64"/>
      <c r="D32" s="64"/>
      <c r="E32" s="64" t="s">
        <v>79</v>
      </c>
      <c r="F32" s="64"/>
      <c r="G32" s="64"/>
      <c r="H32" s="77"/>
      <c r="I32" s="64"/>
      <c r="J32" s="77"/>
      <c r="K32" s="64"/>
      <c r="L32" s="78"/>
      <c r="M32" s="64"/>
      <c r="N32" s="77"/>
      <c r="O32" s="64"/>
      <c r="P32" s="77"/>
      <c r="Q32" s="64"/>
      <c r="R32" s="78"/>
      <c r="S32" s="64"/>
      <c r="T32" s="77"/>
      <c r="V32" s="78"/>
    </row>
    <row r="33" spans="1:22" ht="15" customHeight="1" x14ac:dyDescent="0.2">
      <c r="A33" s="64"/>
      <c r="B33" s="64"/>
      <c r="C33" s="64"/>
      <c r="D33" s="64"/>
      <c r="E33" s="64"/>
      <c r="F33" s="64" t="s">
        <v>80</v>
      </c>
      <c r="G33" s="64"/>
      <c r="H33" s="77"/>
      <c r="I33" s="64"/>
      <c r="J33" s="77"/>
      <c r="K33" s="64"/>
      <c r="L33" s="78"/>
      <c r="M33" s="64"/>
      <c r="N33" s="77"/>
      <c r="O33" s="64"/>
      <c r="P33" s="77"/>
      <c r="Q33" s="64"/>
      <c r="R33" s="78"/>
      <c r="S33" s="64"/>
      <c r="T33" s="77"/>
      <c r="V33" s="78"/>
    </row>
    <row r="34" spans="1:22" ht="15" customHeight="1" x14ac:dyDescent="0.2">
      <c r="A34" s="64"/>
      <c r="B34" s="64"/>
      <c r="C34" s="64"/>
      <c r="D34" s="64"/>
      <c r="E34" s="64"/>
      <c r="F34" s="64"/>
      <c r="G34" s="64" t="s">
        <v>81</v>
      </c>
      <c r="H34" s="77">
        <v>5519</v>
      </c>
      <c r="I34" s="64"/>
      <c r="J34" s="77">
        <v>7900</v>
      </c>
      <c r="K34" s="64"/>
      <c r="L34" s="78">
        <f>ROUND(IF(J34=0, IF(H34=0, 0, 1), H34/J34),5)</f>
        <v>0.69860999999999995</v>
      </c>
      <c r="M34" s="64"/>
      <c r="N34" s="77">
        <v>23519</v>
      </c>
      <c r="O34" s="64"/>
      <c r="P34" s="77">
        <v>27200</v>
      </c>
      <c r="Q34" s="64"/>
      <c r="R34" s="78">
        <f>ROUND(IF(P34=0, IF(N34=0, 0, 1), N34/P34),5)</f>
        <v>0.86467000000000005</v>
      </c>
      <c r="S34" s="64"/>
      <c r="T34" s="77">
        <v>97780</v>
      </c>
      <c r="V34" s="78">
        <f t="shared" ref="V34:V38" si="7">ROUND(IF(T34=0, IF(N34=0, 0, 1), N34/T34),5)</f>
        <v>0.24052999999999999</v>
      </c>
    </row>
    <row r="35" spans="1:22" ht="15" customHeight="1" x14ac:dyDescent="0.2">
      <c r="A35" s="64"/>
      <c r="B35" s="64"/>
      <c r="C35" s="64"/>
      <c r="D35" s="64"/>
      <c r="E35" s="64"/>
      <c r="F35" s="64"/>
      <c r="G35" s="64" t="s">
        <v>82</v>
      </c>
      <c r="H35" s="77">
        <v>8295</v>
      </c>
      <c r="I35" s="64"/>
      <c r="J35" s="77">
        <v>15300</v>
      </c>
      <c r="K35" s="64"/>
      <c r="L35" s="78">
        <f>ROUND(IF(J35=0, IF(H35=0, 0, 1), H35/J35),5)</f>
        <v>0.54215999999999998</v>
      </c>
      <c r="M35" s="64"/>
      <c r="N35" s="77">
        <v>21759</v>
      </c>
      <c r="O35" s="64"/>
      <c r="P35" s="77">
        <v>26300</v>
      </c>
      <c r="Q35" s="64"/>
      <c r="R35" s="78">
        <f>ROUND(IF(P35=0, IF(N35=0, 0, 1), N35/P35),5)</f>
        <v>0.82733999999999996</v>
      </c>
      <c r="S35" s="64"/>
      <c r="T35" s="77">
        <v>50830</v>
      </c>
      <c r="V35" s="78">
        <f t="shared" si="7"/>
        <v>0.42807000000000001</v>
      </c>
    </row>
    <row r="36" spans="1:22" ht="15" customHeight="1" x14ac:dyDescent="0.2">
      <c r="A36" s="64"/>
      <c r="B36" s="64"/>
      <c r="C36" s="64"/>
      <c r="D36" s="64"/>
      <c r="E36" s="64"/>
      <c r="F36" s="64"/>
      <c r="G36" s="64" t="s">
        <v>83</v>
      </c>
      <c r="H36" s="77">
        <v>325</v>
      </c>
      <c r="I36" s="64"/>
      <c r="J36" s="77">
        <v>325</v>
      </c>
      <c r="K36" s="64"/>
      <c r="L36" s="78">
        <f>ROUND(IF(J36=0, IF(H36=0, 0, 1), H36/J36),5)</f>
        <v>1</v>
      </c>
      <c r="M36" s="64"/>
      <c r="N36" s="77">
        <v>1960</v>
      </c>
      <c r="O36" s="64"/>
      <c r="P36" s="77">
        <v>1950</v>
      </c>
      <c r="Q36" s="64"/>
      <c r="R36" s="78">
        <f>ROUND(IF(P36=0, IF(N36=0, 0, 1), N36/P36),5)</f>
        <v>1.0051300000000001</v>
      </c>
      <c r="S36" s="64"/>
      <c r="T36" s="77">
        <v>22280</v>
      </c>
      <c r="V36" s="78">
        <f t="shared" si="7"/>
        <v>8.7970000000000007E-2</v>
      </c>
    </row>
    <row r="37" spans="1:22" ht="15" customHeight="1" thickBot="1" x14ac:dyDescent="0.25">
      <c r="A37" s="64"/>
      <c r="B37" s="64"/>
      <c r="C37" s="64"/>
      <c r="D37" s="64"/>
      <c r="E37" s="64"/>
      <c r="F37" s="64"/>
      <c r="G37" s="64" t="s">
        <v>84</v>
      </c>
      <c r="H37" s="80">
        <v>0</v>
      </c>
      <c r="I37" s="64"/>
      <c r="J37" s="80">
        <v>0</v>
      </c>
      <c r="K37" s="64"/>
      <c r="L37" s="81">
        <f>ROUND(IF(J37=0, IF(H37=0, 0, 1), H37/J37),5)</f>
        <v>0</v>
      </c>
      <c r="M37" s="64"/>
      <c r="N37" s="80">
        <v>0</v>
      </c>
      <c r="O37" s="64"/>
      <c r="P37" s="80">
        <v>0</v>
      </c>
      <c r="Q37" s="64"/>
      <c r="R37" s="81">
        <f>ROUND(IF(P37=0, IF(N37=0, 0, 1), N37/P37),5)</f>
        <v>0</v>
      </c>
      <c r="S37" s="64"/>
      <c r="T37" s="80">
        <v>3000</v>
      </c>
      <c r="V37" s="81">
        <f t="shared" si="7"/>
        <v>0</v>
      </c>
    </row>
    <row r="38" spans="1:22" ht="15" customHeight="1" x14ac:dyDescent="0.2">
      <c r="A38" s="64"/>
      <c r="B38" s="64"/>
      <c r="C38" s="64"/>
      <c r="D38" s="64"/>
      <c r="E38" s="64"/>
      <c r="F38" s="64" t="s">
        <v>85</v>
      </c>
      <c r="G38" s="64"/>
      <c r="H38" s="77">
        <f>ROUND(SUM(H33:H37),5)</f>
        <v>14139</v>
      </c>
      <c r="I38" s="64"/>
      <c r="J38" s="77">
        <f>ROUND(SUM(J33:J37),5)</f>
        <v>23525</v>
      </c>
      <c r="K38" s="64"/>
      <c r="L38" s="78">
        <f>ROUND(IF(J38=0, IF(H38=0, 0, 1), H38/J38),5)</f>
        <v>0.60102</v>
      </c>
      <c r="M38" s="64"/>
      <c r="N38" s="77">
        <f>ROUND(SUM(N33:N37),5)</f>
        <v>47238</v>
      </c>
      <c r="O38" s="64"/>
      <c r="P38" s="77">
        <f>ROUND(SUM(P33:P37),5)</f>
        <v>55450</v>
      </c>
      <c r="Q38" s="64"/>
      <c r="R38" s="78">
        <f>ROUND(IF(P38=0, IF(N38=0, 0, 1), N38/P38),5)</f>
        <v>0.85189999999999999</v>
      </c>
      <c r="S38" s="64"/>
      <c r="T38" s="77">
        <f>ROUND(SUM(T33:T37),5)</f>
        <v>173890</v>
      </c>
      <c r="V38" s="78">
        <f t="shared" si="7"/>
        <v>0.27165</v>
      </c>
    </row>
    <row r="39" spans="1:22" ht="15" customHeight="1" x14ac:dyDescent="0.2">
      <c r="A39" s="64"/>
      <c r="B39" s="64"/>
      <c r="C39" s="64"/>
      <c r="D39" s="64"/>
      <c r="E39" s="64"/>
      <c r="F39" s="64" t="s">
        <v>86</v>
      </c>
      <c r="G39" s="64"/>
      <c r="H39" s="77"/>
      <c r="I39" s="64"/>
      <c r="J39" s="77"/>
      <c r="K39" s="64"/>
      <c r="L39" s="78"/>
      <c r="M39" s="64"/>
      <c r="N39" s="77"/>
      <c r="O39" s="64"/>
      <c r="P39" s="77"/>
      <c r="Q39" s="64"/>
      <c r="R39" s="78"/>
      <c r="S39" s="64"/>
      <c r="T39" s="77"/>
      <c r="V39" s="78"/>
    </row>
    <row r="40" spans="1:22" ht="15" customHeight="1" x14ac:dyDescent="0.2">
      <c r="A40" s="64"/>
      <c r="B40" s="64"/>
      <c r="C40" s="64"/>
      <c r="D40" s="64"/>
      <c r="E40" s="64"/>
      <c r="F40" s="64"/>
      <c r="G40" s="64" t="s">
        <v>87</v>
      </c>
      <c r="H40" s="77">
        <v>850</v>
      </c>
      <c r="I40" s="64"/>
      <c r="J40" s="77">
        <v>450</v>
      </c>
      <c r="K40" s="64"/>
      <c r="L40" s="78">
        <f t="shared" ref="L40:L45" si="8">ROUND(IF(J40=0, IF(H40=0, 0, 1), H40/J40),5)</f>
        <v>1.88889</v>
      </c>
      <c r="M40" s="64"/>
      <c r="N40" s="77">
        <v>1076</v>
      </c>
      <c r="O40" s="64"/>
      <c r="P40" s="77">
        <v>690</v>
      </c>
      <c r="Q40" s="64"/>
      <c r="R40" s="78">
        <f t="shared" ref="R40:R45" si="9">ROUND(IF(P40=0, IF(N40=0, 0, 1), N40/P40),5)</f>
        <v>1.55942</v>
      </c>
      <c r="S40" s="64"/>
      <c r="T40" s="77">
        <v>7540</v>
      </c>
      <c r="V40" s="78">
        <f t="shared" ref="V40:V45" si="10">ROUND(IF(T40=0, IF(N40=0, 0, 1), N40/T40),5)</f>
        <v>0.14271</v>
      </c>
    </row>
    <row r="41" spans="1:22" ht="15" customHeight="1" x14ac:dyDescent="0.2">
      <c r="A41" s="64"/>
      <c r="B41" s="64"/>
      <c r="C41" s="64"/>
      <c r="D41" s="64"/>
      <c r="E41" s="64"/>
      <c r="F41" s="64"/>
      <c r="G41" s="64" t="s">
        <v>88</v>
      </c>
      <c r="H41" s="77">
        <v>2050</v>
      </c>
      <c r="I41" s="64"/>
      <c r="J41" s="77">
        <v>1000</v>
      </c>
      <c r="K41" s="64"/>
      <c r="L41" s="78">
        <f t="shared" si="8"/>
        <v>2.0499999999999998</v>
      </c>
      <c r="M41" s="64"/>
      <c r="N41" s="77">
        <v>4150</v>
      </c>
      <c r="O41" s="64"/>
      <c r="P41" s="77">
        <v>3000</v>
      </c>
      <c r="Q41" s="64"/>
      <c r="R41" s="78">
        <f t="shared" si="9"/>
        <v>1.3833299999999999</v>
      </c>
      <c r="S41" s="64"/>
      <c r="T41" s="77">
        <v>28590</v>
      </c>
      <c r="V41" s="78">
        <f t="shared" si="10"/>
        <v>0.14516000000000001</v>
      </c>
    </row>
    <row r="42" spans="1:22" ht="15" customHeight="1" x14ac:dyDescent="0.2">
      <c r="A42" s="64"/>
      <c r="B42" s="64"/>
      <c r="C42" s="64"/>
      <c r="D42" s="64"/>
      <c r="E42" s="64"/>
      <c r="F42" s="64"/>
      <c r="G42" s="64" t="s">
        <v>89</v>
      </c>
      <c r="H42" s="77">
        <v>2620</v>
      </c>
      <c r="I42" s="64"/>
      <c r="J42" s="77">
        <v>650</v>
      </c>
      <c r="K42" s="64"/>
      <c r="L42" s="78">
        <f t="shared" si="8"/>
        <v>4.0307700000000004</v>
      </c>
      <c r="M42" s="64"/>
      <c r="N42" s="77">
        <v>5692</v>
      </c>
      <c r="O42" s="64"/>
      <c r="P42" s="77">
        <v>975</v>
      </c>
      <c r="Q42" s="64"/>
      <c r="R42" s="78">
        <f t="shared" si="9"/>
        <v>5.8379500000000002</v>
      </c>
      <c r="S42" s="64"/>
      <c r="T42" s="77">
        <v>8670</v>
      </c>
      <c r="V42" s="78">
        <f t="shared" si="10"/>
        <v>0.65651999999999999</v>
      </c>
    </row>
    <row r="43" spans="1:22" ht="15" customHeight="1" thickBot="1" x14ac:dyDescent="0.25">
      <c r="A43" s="64"/>
      <c r="B43" s="64"/>
      <c r="C43" s="64"/>
      <c r="D43" s="64"/>
      <c r="E43" s="64"/>
      <c r="F43" s="64"/>
      <c r="G43" s="64" t="s">
        <v>90</v>
      </c>
      <c r="H43" s="82">
        <v>0</v>
      </c>
      <c r="I43" s="64"/>
      <c r="J43" s="82">
        <v>0</v>
      </c>
      <c r="K43" s="64"/>
      <c r="L43" s="83">
        <f t="shared" si="8"/>
        <v>0</v>
      </c>
      <c r="M43" s="64"/>
      <c r="N43" s="82">
        <v>79</v>
      </c>
      <c r="O43" s="64"/>
      <c r="P43" s="82">
        <v>85</v>
      </c>
      <c r="Q43" s="64"/>
      <c r="R43" s="83">
        <f t="shared" si="9"/>
        <v>0.92940999999999996</v>
      </c>
      <c r="S43" s="64"/>
      <c r="T43" s="82">
        <v>2800</v>
      </c>
      <c r="V43" s="83">
        <f t="shared" si="10"/>
        <v>2.8209999999999999E-2</v>
      </c>
    </row>
    <row r="44" spans="1:22" ht="15" customHeight="1" thickBot="1" x14ac:dyDescent="0.25">
      <c r="A44" s="64"/>
      <c r="B44" s="64"/>
      <c r="C44" s="64"/>
      <c r="D44" s="64"/>
      <c r="E44" s="64"/>
      <c r="F44" s="64" t="s">
        <v>91</v>
      </c>
      <c r="G44" s="64"/>
      <c r="H44" s="84">
        <f>ROUND(SUM(H39:H43),5)</f>
        <v>5520</v>
      </c>
      <c r="I44" s="64"/>
      <c r="J44" s="84">
        <f>ROUND(SUM(J39:J43),5)</f>
        <v>2100</v>
      </c>
      <c r="K44" s="64"/>
      <c r="L44" s="85">
        <f t="shared" si="8"/>
        <v>2.6285699999999999</v>
      </c>
      <c r="M44" s="64"/>
      <c r="N44" s="84">
        <f>ROUND(SUM(N39:N43),5)</f>
        <v>10997</v>
      </c>
      <c r="O44" s="64"/>
      <c r="P44" s="84">
        <f>ROUND(SUM(P39:P43),5)</f>
        <v>4750</v>
      </c>
      <c r="Q44" s="64"/>
      <c r="R44" s="85">
        <f t="shared" si="9"/>
        <v>2.3151600000000001</v>
      </c>
      <c r="S44" s="64"/>
      <c r="T44" s="84">
        <f>ROUND(SUM(T39:T43),5)</f>
        <v>47600</v>
      </c>
      <c r="V44" s="85">
        <f t="shared" si="10"/>
        <v>0.23103000000000001</v>
      </c>
    </row>
    <row r="45" spans="1:22" ht="15" customHeight="1" x14ac:dyDescent="0.2">
      <c r="A45" s="64"/>
      <c r="B45" s="64"/>
      <c r="C45" s="64"/>
      <c r="D45" s="64"/>
      <c r="E45" s="64" t="s">
        <v>92</v>
      </c>
      <c r="F45" s="64"/>
      <c r="G45" s="64"/>
      <c r="H45" s="77">
        <f>ROUND(H32+H38+H44,5)</f>
        <v>19659</v>
      </c>
      <c r="I45" s="64"/>
      <c r="J45" s="77">
        <f>ROUND(J32+J38+J44,5)</f>
        <v>25625</v>
      </c>
      <c r="K45" s="64"/>
      <c r="L45" s="78">
        <f t="shared" si="8"/>
        <v>0.76717999999999997</v>
      </c>
      <c r="M45" s="64"/>
      <c r="N45" s="77">
        <f>ROUND(N32+N38+N44,5)</f>
        <v>58235</v>
      </c>
      <c r="O45" s="64"/>
      <c r="P45" s="77">
        <f>ROUND(P32+P38+P44,5)</f>
        <v>60200</v>
      </c>
      <c r="Q45" s="64"/>
      <c r="R45" s="78">
        <f t="shared" si="9"/>
        <v>0.96736</v>
      </c>
      <c r="S45" s="64"/>
      <c r="T45" s="77">
        <f>ROUND(T32+T38+T44,5)</f>
        <v>221490</v>
      </c>
      <c r="V45" s="78">
        <f t="shared" si="10"/>
        <v>0.26291999999999999</v>
      </c>
    </row>
    <row r="46" spans="1:22" ht="15" customHeight="1" x14ac:dyDescent="0.2">
      <c r="A46" s="64"/>
      <c r="B46" s="64"/>
      <c r="C46" s="64"/>
      <c r="D46" s="64"/>
      <c r="E46" s="64" t="s">
        <v>93</v>
      </c>
      <c r="F46" s="64"/>
      <c r="G46" s="64"/>
      <c r="H46" s="77"/>
      <c r="I46" s="64"/>
      <c r="J46" s="77"/>
      <c r="K46" s="64"/>
      <c r="L46" s="78"/>
      <c r="M46" s="64"/>
      <c r="N46" s="77"/>
      <c r="O46" s="64"/>
      <c r="P46" s="77"/>
      <c r="Q46" s="64"/>
      <c r="R46" s="78"/>
      <c r="S46" s="64"/>
      <c r="T46" s="77"/>
      <c r="V46" s="78"/>
    </row>
    <row r="47" spans="1:22" ht="15" customHeight="1" x14ac:dyDescent="0.2">
      <c r="A47" s="64"/>
      <c r="B47" s="64"/>
      <c r="C47" s="64"/>
      <c r="D47" s="64"/>
      <c r="E47" s="64"/>
      <c r="F47" s="64" t="s">
        <v>94</v>
      </c>
      <c r="G47" s="64"/>
      <c r="H47" s="77"/>
      <c r="I47" s="64"/>
      <c r="J47" s="77"/>
      <c r="K47" s="64"/>
      <c r="L47" s="78"/>
      <c r="M47" s="64"/>
      <c r="N47" s="77"/>
      <c r="O47" s="64"/>
      <c r="P47" s="77"/>
      <c r="Q47" s="64"/>
      <c r="R47" s="78"/>
      <c r="S47" s="64"/>
      <c r="T47" s="77"/>
      <c r="V47" s="78"/>
    </row>
    <row r="48" spans="1:22" ht="15" customHeight="1" x14ac:dyDescent="0.2">
      <c r="A48" s="64"/>
      <c r="B48" s="64"/>
      <c r="C48" s="64"/>
      <c r="D48" s="64"/>
      <c r="E48" s="64"/>
      <c r="F48" s="64"/>
      <c r="G48" s="64" t="s">
        <v>95</v>
      </c>
      <c r="H48" s="77">
        <v>0</v>
      </c>
      <c r="I48" s="64"/>
      <c r="J48" s="77">
        <v>0</v>
      </c>
      <c r="K48" s="64"/>
      <c r="L48" s="78">
        <f t="shared" ref="L48:L53" si="11">ROUND(IF(J48=0, IF(H48=0, 0, 1), H48/J48),5)</f>
        <v>0</v>
      </c>
      <c r="M48" s="64"/>
      <c r="N48" s="77">
        <v>500</v>
      </c>
      <c r="O48" s="64"/>
      <c r="P48" s="77">
        <v>500</v>
      </c>
      <c r="Q48" s="64"/>
      <c r="R48" s="78">
        <f t="shared" ref="R48:R53" si="12">ROUND(IF(P48=0, IF(N48=0, 0, 1), N48/P48),5)</f>
        <v>1</v>
      </c>
      <c r="S48" s="64"/>
      <c r="T48" s="77">
        <v>500</v>
      </c>
      <c r="V48" s="78">
        <f t="shared" ref="V48:V53" si="13">ROUND(IF(T48=0, IF(N48=0, 0, 1), N48/T48),5)</f>
        <v>1</v>
      </c>
    </row>
    <row r="49" spans="1:22" ht="15" customHeight="1" x14ac:dyDescent="0.2">
      <c r="A49" s="64"/>
      <c r="B49" s="64"/>
      <c r="C49" s="64"/>
      <c r="D49" s="64"/>
      <c r="E49" s="64"/>
      <c r="F49" s="64"/>
      <c r="G49" s="64" t="s">
        <v>96</v>
      </c>
      <c r="H49" s="77">
        <v>0</v>
      </c>
      <c r="I49" s="64"/>
      <c r="J49" s="77">
        <v>0</v>
      </c>
      <c r="K49" s="64"/>
      <c r="L49" s="78">
        <f t="shared" si="11"/>
        <v>0</v>
      </c>
      <c r="M49" s="64"/>
      <c r="N49" s="77">
        <v>9443</v>
      </c>
      <c r="O49" s="64"/>
      <c r="P49" s="77">
        <v>8500</v>
      </c>
      <c r="Q49" s="64"/>
      <c r="R49" s="78">
        <f t="shared" si="12"/>
        <v>1.11094</v>
      </c>
      <c r="S49" s="64"/>
      <c r="T49" s="77">
        <v>8500</v>
      </c>
      <c r="V49" s="78">
        <f t="shared" si="13"/>
        <v>1.11094</v>
      </c>
    </row>
    <row r="50" spans="1:22" ht="15" customHeight="1" x14ac:dyDescent="0.2">
      <c r="A50" s="64"/>
      <c r="B50" s="64"/>
      <c r="C50" s="64"/>
      <c r="D50" s="64"/>
      <c r="E50" s="64"/>
      <c r="F50" s="64"/>
      <c r="G50" s="64" t="s">
        <v>97</v>
      </c>
      <c r="H50" s="77">
        <v>0</v>
      </c>
      <c r="I50" s="64"/>
      <c r="J50" s="77">
        <v>0</v>
      </c>
      <c r="K50" s="64"/>
      <c r="L50" s="78">
        <f t="shared" si="11"/>
        <v>0</v>
      </c>
      <c r="M50" s="64"/>
      <c r="N50" s="77">
        <v>4412</v>
      </c>
      <c r="O50" s="64"/>
      <c r="P50" s="77">
        <v>7300</v>
      </c>
      <c r="Q50" s="64"/>
      <c r="R50" s="78">
        <f t="shared" si="12"/>
        <v>0.60438000000000003</v>
      </c>
      <c r="S50" s="64"/>
      <c r="T50" s="77">
        <v>7300</v>
      </c>
      <c r="V50" s="78">
        <f t="shared" si="13"/>
        <v>0.60438000000000003</v>
      </c>
    </row>
    <row r="51" spans="1:22" ht="15" customHeight="1" x14ac:dyDescent="0.2">
      <c r="A51" s="64"/>
      <c r="B51" s="64"/>
      <c r="C51" s="64"/>
      <c r="D51" s="64"/>
      <c r="E51" s="64"/>
      <c r="F51" s="64"/>
      <c r="G51" s="64" t="s">
        <v>98</v>
      </c>
      <c r="H51" s="77">
        <v>0</v>
      </c>
      <c r="I51" s="64"/>
      <c r="J51" s="77">
        <v>0</v>
      </c>
      <c r="K51" s="64"/>
      <c r="L51" s="78">
        <f t="shared" si="11"/>
        <v>0</v>
      </c>
      <c r="M51" s="64"/>
      <c r="N51" s="77">
        <v>49418</v>
      </c>
      <c r="O51" s="64"/>
      <c r="P51" s="77">
        <v>78700</v>
      </c>
      <c r="Q51" s="64"/>
      <c r="R51" s="78">
        <f t="shared" si="12"/>
        <v>0.62792999999999999</v>
      </c>
      <c r="S51" s="64"/>
      <c r="T51" s="77">
        <v>78700</v>
      </c>
      <c r="V51" s="78">
        <f t="shared" si="13"/>
        <v>0.62792999999999999</v>
      </c>
    </row>
    <row r="52" spans="1:22" ht="15" customHeight="1" thickBot="1" x14ac:dyDescent="0.25">
      <c r="A52" s="64"/>
      <c r="B52" s="64"/>
      <c r="C52" s="64"/>
      <c r="D52" s="64"/>
      <c r="E52" s="64"/>
      <c r="F52" s="64"/>
      <c r="G52" s="64" t="s">
        <v>99</v>
      </c>
      <c r="H52" s="80">
        <v>13</v>
      </c>
      <c r="I52" s="64"/>
      <c r="J52" s="80">
        <v>0</v>
      </c>
      <c r="K52" s="64"/>
      <c r="L52" s="81">
        <f t="shared" si="11"/>
        <v>1</v>
      </c>
      <c r="M52" s="64"/>
      <c r="N52" s="80">
        <v>-10936</v>
      </c>
      <c r="O52" s="64"/>
      <c r="P52" s="80">
        <v>-13000</v>
      </c>
      <c r="Q52" s="64"/>
      <c r="R52" s="81">
        <f t="shared" si="12"/>
        <v>0.84123000000000003</v>
      </c>
      <c r="S52" s="64"/>
      <c r="T52" s="80">
        <v>-13000</v>
      </c>
      <c r="V52" s="81">
        <f t="shared" si="13"/>
        <v>0.84123000000000003</v>
      </c>
    </row>
    <row r="53" spans="1:22" ht="15" customHeight="1" x14ac:dyDescent="0.2">
      <c r="A53" s="64"/>
      <c r="B53" s="64"/>
      <c r="C53" s="64"/>
      <c r="D53" s="64"/>
      <c r="E53" s="64"/>
      <c r="F53" s="64" t="s">
        <v>100</v>
      </c>
      <c r="G53" s="64"/>
      <c r="H53" s="77">
        <f>ROUND(SUM(H47:H52),5)</f>
        <v>13</v>
      </c>
      <c r="I53" s="64"/>
      <c r="J53" s="77">
        <f>ROUND(SUM(J47:J52),5)</f>
        <v>0</v>
      </c>
      <c r="K53" s="64"/>
      <c r="L53" s="78">
        <f t="shared" si="11"/>
        <v>1</v>
      </c>
      <c r="M53" s="64"/>
      <c r="N53" s="77">
        <f>ROUND(SUM(N47:N52),5)</f>
        <v>52837</v>
      </c>
      <c r="O53" s="64"/>
      <c r="P53" s="77">
        <f>ROUND(SUM(P47:P52),5)</f>
        <v>82000</v>
      </c>
      <c r="Q53" s="64"/>
      <c r="R53" s="78">
        <f t="shared" si="12"/>
        <v>0.64434999999999998</v>
      </c>
      <c r="S53" s="64"/>
      <c r="T53" s="77">
        <f>ROUND(SUM(T47:T52),5)</f>
        <v>82000</v>
      </c>
      <c r="V53" s="78">
        <f t="shared" si="13"/>
        <v>0.64434999999999998</v>
      </c>
    </row>
    <row r="54" spans="1:22" ht="15" customHeight="1" x14ac:dyDescent="0.2">
      <c r="A54" s="64"/>
      <c r="B54" s="64"/>
      <c r="C54" s="64"/>
      <c r="D54" s="64"/>
      <c r="E54" s="64"/>
      <c r="F54" s="64" t="s">
        <v>101</v>
      </c>
      <c r="G54" s="64"/>
      <c r="H54" s="77"/>
      <c r="I54" s="64"/>
      <c r="J54" s="77"/>
      <c r="K54" s="64"/>
      <c r="L54" s="78"/>
      <c r="M54" s="64"/>
      <c r="N54" s="77"/>
      <c r="O54" s="64"/>
      <c r="P54" s="77"/>
      <c r="Q54" s="64"/>
      <c r="R54" s="78"/>
      <c r="S54" s="64"/>
      <c r="T54" s="77"/>
      <c r="V54" s="78"/>
    </row>
    <row r="55" spans="1:22" ht="15" customHeight="1" x14ac:dyDescent="0.2">
      <c r="A55" s="64"/>
      <c r="B55" s="64"/>
      <c r="C55" s="64"/>
      <c r="D55" s="64"/>
      <c r="E55" s="64"/>
      <c r="F55" s="64"/>
      <c r="G55" s="64" t="s">
        <v>102</v>
      </c>
      <c r="H55" s="77">
        <v>115</v>
      </c>
      <c r="I55" s="64"/>
      <c r="J55" s="77">
        <v>0</v>
      </c>
      <c r="K55" s="64"/>
      <c r="L55" s="78">
        <f>ROUND(IF(J55=0, IF(H55=0, 0, 1), H55/J55),5)</f>
        <v>1</v>
      </c>
      <c r="M55" s="64"/>
      <c r="N55" s="77">
        <v>115</v>
      </c>
      <c r="O55" s="64"/>
      <c r="P55" s="77">
        <v>0</v>
      </c>
      <c r="Q55" s="64"/>
      <c r="R55" s="78">
        <f>ROUND(IF(P55=0, IF(N55=0, 0, 1), N55/P55),5)</f>
        <v>1</v>
      </c>
      <c r="S55" s="64"/>
      <c r="T55" s="77">
        <v>50600</v>
      </c>
      <c r="V55" s="78">
        <f t="shared" ref="V55:V59" si="14">ROUND(IF(T55=0, IF(N55=0, 0, 1), N55/T55),5)</f>
        <v>2.2699999999999999E-3</v>
      </c>
    </row>
    <row r="56" spans="1:22" ht="15" customHeight="1" thickBot="1" x14ac:dyDescent="0.25">
      <c r="A56" s="64"/>
      <c r="B56" s="64"/>
      <c r="C56" s="64"/>
      <c r="D56" s="64"/>
      <c r="E56" s="64"/>
      <c r="F56" s="64"/>
      <c r="G56" s="64" t="s">
        <v>103</v>
      </c>
      <c r="H56" s="82">
        <v>0</v>
      </c>
      <c r="I56" s="64"/>
      <c r="J56" s="82">
        <v>0</v>
      </c>
      <c r="K56" s="64"/>
      <c r="L56" s="83">
        <f>ROUND(IF(J56=0, IF(H56=0, 0, 1), H56/J56),5)</f>
        <v>0</v>
      </c>
      <c r="M56" s="64"/>
      <c r="N56" s="82">
        <v>0</v>
      </c>
      <c r="O56" s="64"/>
      <c r="P56" s="82">
        <v>0</v>
      </c>
      <c r="Q56" s="64"/>
      <c r="R56" s="83">
        <f>ROUND(IF(P56=0, IF(N56=0, 0, 1), N56/P56),5)</f>
        <v>0</v>
      </c>
      <c r="S56" s="64"/>
      <c r="T56" s="82">
        <v>-2650</v>
      </c>
      <c r="V56" s="83">
        <f t="shared" si="14"/>
        <v>0</v>
      </c>
    </row>
    <row r="57" spans="1:22" ht="15" customHeight="1" thickBot="1" x14ac:dyDescent="0.25">
      <c r="A57" s="64"/>
      <c r="B57" s="64"/>
      <c r="C57" s="64"/>
      <c r="D57" s="64"/>
      <c r="E57" s="64"/>
      <c r="F57" s="64" t="s">
        <v>104</v>
      </c>
      <c r="G57" s="64"/>
      <c r="H57" s="84">
        <f>ROUND(SUM(H54:H56),5)</f>
        <v>115</v>
      </c>
      <c r="I57" s="64"/>
      <c r="J57" s="84">
        <f>ROUND(SUM(J54:J56),5)</f>
        <v>0</v>
      </c>
      <c r="K57" s="64"/>
      <c r="L57" s="85">
        <f>ROUND(IF(J57=0, IF(H57=0, 0, 1), H57/J57),5)</f>
        <v>1</v>
      </c>
      <c r="M57" s="64"/>
      <c r="N57" s="84">
        <f>ROUND(SUM(N54:N56),5)</f>
        <v>115</v>
      </c>
      <c r="O57" s="64"/>
      <c r="P57" s="84">
        <f>ROUND(SUM(P54:P56),5)</f>
        <v>0</v>
      </c>
      <c r="Q57" s="64"/>
      <c r="R57" s="85">
        <f>ROUND(IF(P57=0, IF(N57=0, 0, 1), N57/P57),5)</f>
        <v>1</v>
      </c>
      <c r="S57" s="64"/>
      <c r="T57" s="84">
        <f>ROUND(SUM(T54:T56),5)</f>
        <v>47950</v>
      </c>
      <c r="V57" s="85">
        <f t="shared" si="14"/>
        <v>2.3999999999999998E-3</v>
      </c>
    </row>
    <row r="58" spans="1:22" ht="15" customHeight="1" x14ac:dyDescent="0.2">
      <c r="A58" s="64"/>
      <c r="B58" s="64"/>
      <c r="C58" s="64"/>
      <c r="D58" s="64"/>
      <c r="E58" s="64" t="s">
        <v>105</v>
      </c>
      <c r="F58" s="64"/>
      <c r="G58" s="64"/>
      <c r="H58" s="77">
        <f>ROUND(H46+H53+H57,5)</f>
        <v>128</v>
      </c>
      <c r="I58" s="64"/>
      <c r="J58" s="77">
        <f>ROUND(J46+J53+J57,5)</f>
        <v>0</v>
      </c>
      <c r="K58" s="64"/>
      <c r="L58" s="78">
        <f>ROUND(IF(J58=0, IF(H58=0, 0, 1), H58/J58),5)</f>
        <v>1</v>
      </c>
      <c r="M58" s="64"/>
      <c r="N58" s="77">
        <f>ROUND(N46+N53+N57,5)</f>
        <v>52952</v>
      </c>
      <c r="O58" s="64"/>
      <c r="P58" s="77">
        <f>ROUND(P46+P53+P57,5)</f>
        <v>82000</v>
      </c>
      <c r="Q58" s="64"/>
      <c r="R58" s="78">
        <f>ROUND(IF(P58=0, IF(N58=0, 0, 1), N58/P58),5)</f>
        <v>0.64576</v>
      </c>
      <c r="S58" s="64"/>
      <c r="T58" s="77">
        <f>ROUND(T46+T53+T57,5)</f>
        <v>129950</v>
      </c>
      <c r="V58" s="78">
        <f t="shared" si="14"/>
        <v>0.40748000000000001</v>
      </c>
    </row>
    <row r="59" spans="1:22" ht="15" customHeight="1" x14ac:dyDescent="0.2">
      <c r="A59" s="64"/>
      <c r="B59" s="64"/>
      <c r="C59" s="64"/>
      <c r="D59" s="64"/>
      <c r="E59" s="64" t="s">
        <v>106</v>
      </c>
      <c r="F59" s="64"/>
      <c r="G59" s="64"/>
      <c r="H59" s="77">
        <v>20</v>
      </c>
      <c r="I59" s="64"/>
      <c r="J59" s="77">
        <v>0</v>
      </c>
      <c r="K59" s="64"/>
      <c r="L59" s="78">
        <f>ROUND(IF(J59=0, IF(H59=0, 0, 1), H59/J59),5)</f>
        <v>1</v>
      </c>
      <c r="M59" s="64"/>
      <c r="N59" s="77">
        <v>900</v>
      </c>
      <c r="O59" s="64"/>
      <c r="P59" s="77">
        <v>0</v>
      </c>
      <c r="Q59" s="64"/>
      <c r="R59" s="78">
        <f>ROUND(IF(P59=0, IF(N59=0, 0, 1), N59/P59),5)</f>
        <v>1</v>
      </c>
      <c r="S59" s="64"/>
      <c r="T59" s="77">
        <v>100</v>
      </c>
      <c r="V59" s="78">
        <f t="shared" si="14"/>
        <v>9</v>
      </c>
    </row>
    <row r="60" spans="1:22" ht="15" customHeight="1" x14ac:dyDescent="0.2">
      <c r="A60" s="64"/>
      <c r="B60" s="64"/>
      <c r="C60" s="64"/>
      <c r="D60" s="64"/>
      <c r="E60" s="64" t="s">
        <v>107</v>
      </c>
      <c r="F60" s="64"/>
      <c r="G60" s="64"/>
      <c r="H60" s="77"/>
      <c r="I60" s="64"/>
      <c r="J60" s="77"/>
      <c r="K60" s="64"/>
      <c r="L60" s="78"/>
      <c r="M60" s="64"/>
      <c r="N60" s="77"/>
      <c r="O60" s="64"/>
      <c r="P60" s="77"/>
      <c r="Q60" s="64"/>
      <c r="R60" s="78"/>
      <c r="S60" s="64"/>
      <c r="T60" s="77"/>
      <c r="V60" s="78"/>
    </row>
    <row r="61" spans="1:22" ht="15" customHeight="1" x14ac:dyDescent="0.2">
      <c r="A61" s="64"/>
      <c r="B61" s="64"/>
      <c r="C61" s="64"/>
      <c r="D61" s="64"/>
      <c r="E61" s="64"/>
      <c r="F61" s="64" t="s">
        <v>108</v>
      </c>
      <c r="G61" s="64"/>
      <c r="H61" s="77">
        <v>5294</v>
      </c>
      <c r="I61" s="64"/>
      <c r="J61" s="77">
        <v>6934</v>
      </c>
      <c r="K61" s="64"/>
      <c r="L61" s="78">
        <f t="shared" ref="L61:L66" si="15">ROUND(IF(J61=0, IF(H61=0, 0, 1), H61/J61),5)</f>
        <v>0.76348000000000005</v>
      </c>
      <c r="M61" s="64"/>
      <c r="N61" s="77">
        <v>10603</v>
      </c>
      <c r="O61" s="64"/>
      <c r="P61" s="77">
        <v>13148</v>
      </c>
      <c r="Q61" s="64"/>
      <c r="R61" s="78">
        <f t="shared" ref="R61:R66" si="16">ROUND(IF(P61=0, IF(N61=0, 0, 1), N61/P61),5)</f>
        <v>0.80642999999999998</v>
      </c>
      <c r="S61" s="64"/>
      <c r="T61" s="77">
        <v>125434</v>
      </c>
      <c r="V61" s="78">
        <f t="shared" ref="V61:V66" si="17">ROUND(IF(T61=0, IF(N61=0, 0, 1), N61/T61),5)</f>
        <v>8.4529999999999994E-2</v>
      </c>
    </row>
    <row r="62" spans="1:22" ht="15" customHeight="1" x14ac:dyDescent="0.2">
      <c r="A62" s="64"/>
      <c r="B62" s="64"/>
      <c r="C62" s="64"/>
      <c r="D62" s="64"/>
      <c r="E62" s="64"/>
      <c r="F62" s="64" t="s">
        <v>109</v>
      </c>
      <c r="G62" s="64"/>
      <c r="H62" s="77">
        <v>2129</v>
      </c>
      <c r="I62" s="64"/>
      <c r="J62" s="77">
        <v>1445</v>
      </c>
      <c r="K62" s="64"/>
      <c r="L62" s="78">
        <f t="shared" si="15"/>
        <v>1.47336</v>
      </c>
      <c r="M62" s="64"/>
      <c r="N62" s="77">
        <v>4059</v>
      </c>
      <c r="O62" s="64"/>
      <c r="P62" s="77">
        <v>2740</v>
      </c>
      <c r="Q62" s="64"/>
      <c r="R62" s="78">
        <f t="shared" si="16"/>
        <v>1.48139</v>
      </c>
      <c r="S62" s="64"/>
      <c r="T62" s="77">
        <v>26130</v>
      </c>
      <c r="V62" s="78">
        <f t="shared" si="17"/>
        <v>0.15534000000000001</v>
      </c>
    </row>
    <row r="63" spans="1:22" ht="15" customHeight="1" x14ac:dyDescent="0.2">
      <c r="A63" s="64"/>
      <c r="B63" s="64"/>
      <c r="C63" s="64"/>
      <c r="D63" s="64"/>
      <c r="E63" s="64"/>
      <c r="F63" s="64" t="s">
        <v>110</v>
      </c>
      <c r="G63" s="64"/>
      <c r="H63" s="77">
        <v>1898</v>
      </c>
      <c r="I63" s="64"/>
      <c r="J63" s="77">
        <v>1252</v>
      </c>
      <c r="K63" s="64"/>
      <c r="L63" s="78">
        <f t="shared" si="15"/>
        <v>1.51597</v>
      </c>
      <c r="M63" s="64"/>
      <c r="N63" s="77">
        <v>2757</v>
      </c>
      <c r="O63" s="64"/>
      <c r="P63" s="77">
        <v>2374</v>
      </c>
      <c r="Q63" s="64"/>
      <c r="R63" s="78">
        <f t="shared" si="16"/>
        <v>1.16133</v>
      </c>
      <c r="S63" s="64"/>
      <c r="T63" s="77">
        <v>22646</v>
      </c>
      <c r="V63" s="78">
        <f t="shared" si="17"/>
        <v>0.12174</v>
      </c>
    </row>
    <row r="64" spans="1:22" ht="15" customHeight="1" thickBot="1" x14ac:dyDescent="0.25">
      <c r="A64" s="64"/>
      <c r="B64" s="64"/>
      <c r="C64" s="64"/>
      <c r="D64" s="64"/>
      <c r="E64" s="64"/>
      <c r="F64" s="64" t="s">
        <v>111</v>
      </c>
      <c r="G64" s="64"/>
      <c r="H64" s="82">
        <v>0</v>
      </c>
      <c r="I64" s="64"/>
      <c r="J64" s="82">
        <v>0</v>
      </c>
      <c r="K64" s="64"/>
      <c r="L64" s="83">
        <f t="shared" si="15"/>
        <v>0</v>
      </c>
      <c r="M64" s="64"/>
      <c r="N64" s="82">
        <v>0</v>
      </c>
      <c r="O64" s="64"/>
      <c r="P64" s="82">
        <v>0</v>
      </c>
      <c r="Q64" s="64"/>
      <c r="R64" s="83">
        <f t="shared" si="16"/>
        <v>0</v>
      </c>
      <c r="S64" s="64"/>
      <c r="T64" s="82">
        <v>360</v>
      </c>
      <c r="V64" s="83">
        <f t="shared" si="17"/>
        <v>0</v>
      </c>
    </row>
    <row r="65" spans="1:25" ht="15" customHeight="1" thickBot="1" x14ac:dyDescent="0.25">
      <c r="A65" s="64"/>
      <c r="B65" s="64"/>
      <c r="C65" s="64"/>
      <c r="D65" s="64"/>
      <c r="E65" s="64" t="s">
        <v>112</v>
      </c>
      <c r="F65" s="64"/>
      <c r="G65" s="64"/>
      <c r="H65" s="84">
        <f>ROUND(SUM(H60:H64),5)</f>
        <v>9321</v>
      </c>
      <c r="I65" s="64"/>
      <c r="J65" s="84">
        <f>ROUND(SUM(J60:J64),5)</f>
        <v>9631</v>
      </c>
      <c r="K65" s="64"/>
      <c r="L65" s="85">
        <f t="shared" si="15"/>
        <v>0.96780999999999995</v>
      </c>
      <c r="M65" s="64"/>
      <c r="N65" s="84">
        <f>ROUND(SUM(N60:N64),5)</f>
        <v>17419</v>
      </c>
      <c r="O65" s="64"/>
      <c r="P65" s="84">
        <f>ROUND(SUM(P60:P64),5)</f>
        <v>18262</v>
      </c>
      <c r="Q65" s="64"/>
      <c r="R65" s="85">
        <f t="shared" si="16"/>
        <v>0.95384000000000002</v>
      </c>
      <c r="S65" s="64"/>
      <c r="T65" s="84">
        <f>ROUND(SUM(T60:T64),5)</f>
        <v>174570</v>
      </c>
      <c r="V65" s="85">
        <f t="shared" si="17"/>
        <v>9.9779999999999994E-2</v>
      </c>
    </row>
    <row r="66" spans="1:25" ht="15" customHeight="1" x14ac:dyDescent="0.2">
      <c r="A66" s="64"/>
      <c r="B66" s="64"/>
      <c r="C66" s="64"/>
      <c r="D66" s="64" t="s">
        <v>113</v>
      </c>
      <c r="E66" s="64"/>
      <c r="F66" s="64"/>
      <c r="G66" s="64"/>
      <c r="H66" s="77">
        <f>ROUND(H4+H12+H19+H24+H31+H45+SUM(H58:H59)+H65,5)</f>
        <v>452453</v>
      </c>
      <c r="I66" s="64"/>
      <c r="J66" s="77">
        <f>ROUND(J4+J12+J19+J24+J31+J45+SUM(J58:J59)+J65,5)</f>
        <v>222571</v>
      </c>
      <c r="K66" s="64"/>
      <c r="L66" s="78">
        <f t="shared" si="15"/>
        <v>2.0328499999999998</v>
      </c>
      <c r="M66" s="64"/>
      <c r="N66" s="77">
        <f>ROUND(N4+N12+N19+N24+N31+N45+SUM(N58:N59)+N65,5)</f>
        <v>569178</v>
      </c>
      <c r="O66" s="64"/>
      <c r="P66" s="77">
        <f>ROUND(P4+P12+P19+P24+P31+P45+SUM(P58:P59)+P65,5)</f>
        <v>360102</v>
      </c>
      <c r="Q66" s="64"/>
      <c r="R66" s="78">
        <f t="shared" si="16"/>
        <v>1.5806</v>
      </c>
      <c r="S66" s="64"/>
      <c r="T66" s="77">
        <f>ROUND(T4+T12+T19+T24+T31+T45+SUM(T58:T59)+T65,5)</f>
        <v>1269670</v>
      </c>
      <c r="V66" s="78">
        <f t="shared" si="17"/>
        <v>0.44829000000000002</v>
      </c>
    </row>
    <row r="67" spans="1:25" ht="15" customHeight="1" x14ac:dyDescent="0.2">
      <c r="A67" s="64"/>
      <c r="B67" s="64"/>
      <c r="C67" s="64"/>
      <c r="D67" s="64" t="s">
        <v>114</v>
      </c>
      <c r="E67" s="64"/>
      <c r="F67" s="64"/>
      <c r="G67" s="64"/>
      <c r="H67" s="77"/>
      <c r="I67" s="64"/>
      <c r="J67" s="77"/>
      <c r="K67" s="64"/>
      <c r="L67" s="78"/>
      <c r="M67" s="64"/>
      <c r="N67" s="77"/>
      <c r="O67" s="64"/>
      <c r="P67" s="77"/>
      <c r="Q67" s="64"/>
      <c r="R67" s="78"/>
      <c r="S67" s="64"/>
      <c r="T67" s="77"/>
      <c r="V67" s="78"/>
    </row>
    <row r="68" spans="1:25" ht="15" customHeight="1" x14ac:dyDescent="0.2">
      <c r="A68" s="64"/>
      <c r="B68" s="64"/>
      <c r="C68" s="64"/>
      <c r="D68" s="64"/>
      <c r="E68" s="64" t="s">
        <v>115</v>
      </c>
      <c r="F68" s="64"/>
      <c r="G68" s="64"/>
      <c r="H68" s="77">
        <v>420</v>
      </c>
      <c r="I68" s="64"/>
      <c r="J68" s="77">
        <v>300</v>
      </c>
      <c r="K68" s="64"/>
      <c r="L68" s="78">
        <f t="shared" ref="L68:L75" si="18">ROUND(IF(J68=0, IF(H68=0, 0, 1), H68/J68),5)</f>
        <v>1.4</v>
      </c>
      <c r="M68" s="64"/>
      <c r="N68" s="77">
        <v>840</v>
      </c>
      <c r="O68" s="64"/>
      <c r="P68" s="77">
        <v>600</v>
      </c>
      <c r="Q68" s="64"/>
      <c r="R68" s="78">
        <f t="shared" ref="R68:R75" si="19">ROUND(IF(P68=0, IF(N68=0, 0, 1), N68/P68),5)</f>
        <v>1.4</v>
      </c>
      <c r="S68" s="64"/>
      <c r="T68" s="77">
        <v>6000</v>
      </c>
      <c r="V68" s="78">
        <f t="shared" ref="V68:V75" si="20">ROUND(IF(T68=0, IF(N68=0, 0, 1), N68/T68),5)</f>
        <v>0.14000000000000001</v>
      </c>
    </row>
    <row r="69" spans="1:25" ht="15" customHeight="1" x14ac:dyDescent="0.2">
      <c r="A69" s="64"/>
      <c r="B69" s="64"/>
      <c r="C69" s="64"/>
      <c r="D69" s="64"/>
      <c r="E69" s="64" t="s">
        <v>116</v>
      </c>
      <c r="F69" s="64"/>
      <c r="G69" s="64"/>
      <c r="H69" s="77">
        <v>3167</v>
      </c>
      <c r="I69" s="64"/>
      <c r="J69" s="77">
        <v>3996</v>
      </c>
      <c r="K69" s="64"/>
      <c r="L69" s="78">
        <f t="shared" si="18"/>
        <v>0.79254000000000002</v>
      </c>
      <c r="M69" s="64"/>
      <c r="N69" s="77">
        <v>6254</v>
      </c>
      <c r="O69" s="64"/>
      <c r="P69" s="77">
        <v>7548</v>
      </c>
      <c r="Q69" s="64"/>
      <c r="R69" s="78">
        <f t="shared" si="19"/>
        <v>0.82855999999999996</v>
      </c>
      <c r="S69" s="64"/>
      <c r="T69" s="77">
        <v>75730</v>
      </c>
      <c r="V69" s="78">
        <f t="shared" si="20"/>
        <v>8.2580000000000001E-2</v>
      </c>
    </row>
    <row r="70" spans="1:25" ht="15" customHeight="1" x14ac:dyDescent="0.2">
      <c r="A70" s="64"/>
      <c r="B70" s="64"/>
      <c r="C70" s="64"/>
      <c r="D70" s="64"/>
      <c r="E70" s="64" t="s">
        <v>117</v>
      </c>
      <c r="F70" s="64"/>
      <c r="G70" s="64"/>
      <c r="H70" s="77">
        <v>1581</v>
      </c>
      <c r="I70" s="64"/>
      <c r="J70" s="77">
        <v>1252</v>
      </c>
      <c r="K70" s="64"/>
      <c r="L70" s="78">
        <f t="shared" si="18"/>
        <v>1.26278</v>
      </c>
      <c r="M70" s="64"/>
      <c r="N70" s="77">
        <v>2986</v>
      </c>
      <c r="O70" s="64"/>
      <c r="P70" s="77">
        <v>2504</v>
      </c>
      <c r="Q70" s="64"/>
      <c r="R70" s="78">
        <f t="shared" si="19"/>
        <v>1.19249</v>
      </c>
      <c r="S70" s="64"/>
      <c r="T70" s="77">
        <v>22260</v>
      </c>
      <c r="V70" s="78">
        <f t="shared" si="20"/>
        <v>0.13414000000000001</v>
      </c>
    </row>
    <row r="71" spans="1:25" ht="15" customHeight="1" x14ac:dyDescent="0.2">
      <c r="A71" s="64"/>
      <c r="B71" s="64"/>
      <c r="C71" s="64"/>
      <c r="D71" s="64"/>
      <c r="E71" s="64" t="s">
        <v>118</v>
      </c>
      <c r="F71" s="64"/>
      <c r="G71" s="64"/>
      <c r="H71" s="77">
        <v>424</v>
      </c>
      <c r="I71" s="64"/>
      <c r="J71" s="77">
        <v>630</v>
      </c>
      <c r="K71" s="64"/>
      <c r="L71" s="78">
        <f t="shared" si="18"/>
        <v>0.67301999999999995</v>
      </c>
      <c r="M71" s="64"/>
      <c r="N71" s="77">
        <v>901</v>
      </c>
      <c r="O71" s="64"/>
      <c r="P71" s="77">
        <v>1260</v>
      </c>
      <c r="Q71" s="64"/>
      <c r="R71" s="78">
        <f t="shared" si="19"/>
        <v>0.71508000000000005</v>
      </c>
      <c r="S71" s="64"/>
      <c r="T71" s="77">
        <v>11200</v>
      </c>
      <c r="V71" s="78">
        <f t="shared" si="20"/>
        <v>8.0449999999999994E-2</v>
      </c>
    </row>
    <row r="72" spans="1:25" ht="15" customHeight="1" x14ac:dyDescent="0.2">
      <c r="A72" s="64"/>
      <c r="B72" s="64"/>
      <c r="C72" s="64"/>
      <c r="D72" s="64"/>
      <c r="E72" s="64" t="s">
        <v>119</v>
      </c>
      <c r="F72" s="64"/>
      <c r="G72" s="64"/>
      <c r="H72" s="77">
        <v>2</v>
      </c>
      <c r="I72" s="64"/>
      <c r="J72" s="77">
        <v>-10</v>
      </c>
      <c r="K72" s="64"/>
      <c r="L72" s="78">
        <f t="shared" si="18"/>
        <v>-0.2</v>
      </c>
      <c r="M72" s="64"/>
      <c r="N72" s="77">
        <v>2</v>
      </c>
      <c r="O72" s="64"/>
      <c r="P72" s="77">
        <v>-15</v>
      </c>
      <c r="Q72" s="64"/>
      <c r="R72" s="78">
        <f t="shared" si="19"/>
        <v>-0.13333</v>
      </c>
      <c r="S72" s="64"/>
      <c r="T72" s="77">
        <v>-600</v>
      </c>
      <c r="V72" s="78">
        <f t="shared" si="20"/>
        <v>-3.3300000000000001E-3</v>
      </c>
    </row>
    <row r="73" spans="1:25" ht="15" customHeight="1" thickBot="1" x14ac:dyDescent="0.25">
      <c r="A73" s="64"/>
      <c r="B73" s="64"/>
      <c r="C73" s="64"/>
      <c r="D73" s="64"/>
      <c r="E73" s="64" t="s">
        <v>120</v>
      </c>
      <c r="F73" s="64"/>
      <c r="G73" s="64"/>
      <c r="H73" s="82">
        <v>26</v>
      </c>
      <c r="I73" s="64"/>
      <c r="J73" s="82">
        <v>75</v>
      </c>
      <c r="K73" s="64"/>
      <c r="L73" s="83">
        <f t="shared" si="18"/>
        <v>0.34666999999999998</v>
      </c>
      <c r="M73" s="64"/>
      <c r="N73" s="82">
        <v>54</v>
      </c>
      <c r="O73" s="64"/>
      <c r="P73" s="82">
        <v>150</v>
      </c>
      <c r="Q73" s="64"/>
      <c r="R73" s="83">
        <f t="shared" si="19"/>
        <v>0.36</v>
      </c>
      <c r="S73" s="64"/>
      <c r="T73" s="82">
        <v>1000</v>
      </c>
      <c r="V73" s="83">
        <f t="shared" si="20"/>
        <v>5.3999999999999999E-2</v>
      </c>
    </row>
    <row r="74" spans="1:25" ht="15" customHeight="1" thickBot="1" x14ac:dyDescent="0.25">
      <c r="A74" s="64"/>
      <c r="B74" s="64"/>
      <c r="C74" s="64"/>
      <c r="D74" s="64" t="s">
        <v>121</v>
      </c>
      <c r="E74" s="64"/>
      <c r="F74" s="64"/>
      <c r="G74" s="64"/>
      <c r="H74" s="84">
        <f>ROUND(SUM(H67:H73),5)</f>
        <v>5620</v>
      </c>
      <c r="I74" s="64"/>
      <c r="J74" s="84">
        <f>ROUND(SUM(J67:J73),5)</f>
        <v>6243</v>
      </c>
      <c r="K74" s="64"/>
      <c r="L74" s="85">
        <f t="shared" si="18"/>
        <v>0.90020999999999995</v>
      </c>
      <c r="M74" s="64"/>
      <c r="N74" s="84">
        <f>ROUND(SUM(N67:N73),5)</f>
        <v>11037</v>
      </c>
      <c r="O74" s="64"/>
      <c r="P74" s="84">
        <f>ROUND(SUM(P67:P73),5)</f>
        <v>12047</v>
      </c>
      <c r="Q74" s="64"/>
      <c r="R74" s="85">
        <f t="shared" si="19"/>
        <v>0.91615999999999997</v>
      </c>
      <c r="S74" s="64"/>
      <c r="T74" s="84">
        <f>ROUND(SUM(T67:T73),5)</f>
        <v>115590</v>
      </c>
      <c r="V74" s="85">
        <f t="shared" si="20"/>
        <v>9.5479999999999995E-2</v>
      </c>
    </row>
    <row r="75" spans="1:25" ht="15" customHeight="1" x14ac:dyDescent="0.2">
      <c r="A75" s="64"/>
      <c r="B75" s="64"/>
      <c r="C75" s="64" t="s">
        <v>122</v>
      </c>
      <c r="D75" s="64"/>
      <c r="E75" s="64"/>
      <c r="F75" s="64"/>
      <c r="G75" s="64"/>
      <c r="H75" s="77">
        <f>ROUND(H66-H74,5)</f>
        <v>446833</v>
      </c>
      <c r="I75" s="64"/>
      <c r="J75" s="77">
        <f>ROUND(J66-J74,5)</f>
        <v>216328</v>
      </c>
      <c r="K75" s="64"/>
      <c r="L75" s="78">
        <f t="shared" si="18"/>
        <v>2.0655299999999999</v>
      </c>
      <c r="M75" s="64"/>
      <c r="N75" s="77">
        <f>ROUND(N66-N74,5)</f>
        <v>558141</v>
      </c>
      <c r="O75" s="64"/>
      <c r="P75" s="77">
        <f>ROUND(P66-P74,5)</f>
        <v>348055</v>
      </c>
      <c r="Q75" s="64"/>
      <c r="R75" s="78">
        <f t="shared" si="19"/>
        <v>1.6035999999999999</v>
      </c>
      <c r="S75" s="64"/>
      <c r="T75" s="77">
        <f>ROUND(T66-T74,5)</f>
        <v>1154080</v>
      </c>
      <c r="V75" s="78">
        <f t="shared" si="20"/>
        <v>0.48361999999999999</v>
      </c>
    </row>
    <row r="76" spans="1:25" ht="15" customHeight="1" x14ac:dyDescent="0.2">
      <c r="A76" s="64"/>
      <c r="B76" s="64"/>
      <c r="C76" s="64"/>
      <c r="D76" s="64" t="s">
        <v>123</v>
      </c>
      <c r="E76" s="64"/>
      <c r="F76" s="64"/>
      <c r="G76" s="64"/>
      <c r="H76" s="77"/>
      <c r="I76" s="64"/>
      <c r="J76" s="77"/>
      <c r="K76" s="64"/>
      <c r="L76" s="78"/>
      <c r="M76" s="64"/>
      <c r="N76" s="77"/>
      <c r="O76" s="64"/>
      <c r="P76" s="77"/>
      <c r="Q76" s="64"/>
      <c r="R76" s="78"/>
      <c r="S76" s="64"/>
      <c r="T76" s="77"/>
      <c r="V76" s="78"/>
    </row>
    <row r="77" spans="1:25" ht="15" customHeight="1" x14ac:dyDescent="0.2">
      <c r="A77" s="64"/>
      <c r="B77" s="64"/>
      <c r="C77" s="64"/>
      <c r="D77" s="64"/>
      <c r="E77" s="64" t="s">
        <v>124</v>
      </c>
      <c r="F77" s="64"/>
      <c r="G77" s="64"/>
      <c r="H77" s="77"/>
      <c r="I77" s="64"/>
      <c r="J77" s="77"/>
      <c r="K77" s="64"/>
      <c r="L77" s="78"/>
      <c r="M77" s="64"/>
      <c r="N77" s="77"/>
      <c r="O77" s="64"/>
      <c r="P77" s="77"/>
      <c r="Q77" s="64"/>
      <c r="R77" s="78"/>
      <c r="S77" s="64"/>
      <c r="T77" s="77"/>
      <c r="V77" s="78"/>
    </row>
    <row r="78" spans="1:25" ht="15" customHeight="1" x14ac:dyDescent="0.2">
      <c r="A78" s="64"/>
      <c r="B78" s="64"/>
      <c r="C78" s="64"/>
      <c r="D78" s="64"/>
      <c r="E78" s="64"/>
      <c r="F78" s="64" t="s">
        <v>125</v>
      </c>
      <c r="G78" s="64"/>
      <c r="H78" s="77">
        <v>45500</v>
      </c>
      <c r="I78" s="64"/>
      <c r="J78" s="77">
        <v>52511</v>
      </c>
      <c r="K78" s="64"/>
      <c r="L78" s="78">
        <f>ROUND(IF(J78=0, IF(H78=0, 0, 1), H78/J78),5)</f>
        <v>0.86648999999999998</v>
      </c>
      <c r="M78" s="64"/>
      <c r="N78" s="77">
        <v>92198</v>
      </c>
      <c r="O78" s="64"/>
      <c r="P78" s="77">
        <v>98157</v>
      </c>
      <c r="Q78" s="64"/>
      <c r="R78" s="78">
        <f>ROUND(IF(P78=0, IF(N78=0, 0, 1), N78/P78),5)</f>
        <v>0.93928999999999996</v>
      </c>
      <c r="S78" s="64"/>
      <c r="T78" s="77">
        <v>593580</v>
      </c>
      <c r="V78" s="78">
        <f t="shared" ref="V78:V84" si="21">ROUND(IF(T78=0, IF(N78=0, 0, 1), N78/T78),5)</f>
        <v>0.15533</v>
      </c>
      <c r="X78" s="79"/>
      <c r="Y78" s="79"/>
    </row>
    <row r="79" spans="1:25" ht="15" customHeight="1" x14ac:dyDescent="0.2">
      <c r="A79" s="64"/>
      <c r="B79" s="64"/>
      <c r="C79" s="64"/>
      <c r="D79" s="64"/>
      <c r="E79" s="64"/>
      <c r="F79" s="64" t="s">
        <v>126</v>
      </c>
      <c r="G79" s="64"/>
      <c r="H79" s="77">
        <v>2933</v>
      </c>
      <c r="I79" s="64"/>
      <c r="J79" s="77">
        <v>4151</v>
      </c>
      <c r="K79" s="64"/>
      <c r="L79" s="78">
        <f>ROUND(IF(J79=0, IF(H79=0, 0, 1), H79/J79),5)</f>
        <v>0.70657999999999999</v>
      </c>
      <c r="M79" s="64"/>
      <c r="N79" s="77">
        <v>7127</v>
      </c>
      <c r="O79" s="64"/>
      <c r="P79" s="77">
        <v>7771</v>
      </c>
      <c r="Q79" s="64"/>
      <c r="R79" s="78">
        <f>ROUND(IF(P79=0, IF(N79=0, 0, 1), N79/P79),5)</f>
        <v>0.91713</v>
      </c>
      <c r="S79" s="64"/>
      <c r="T79" s="77">
        <v>46960</v>
      </c>
      <c r="V79" s="78">
        <f t="shared" si="21"/>
        <v>0.15176999999999999</v>
      </c>
    </row>
    <row r="80" spans="1:25" ht="15" customHeight="1" x14ac:dyDescent="0.2">
      <c r="A80" s="64"/>
      <c r="B80" s="64"/>
      <c r="C80" s="64"/>
      <c r="D80" s="64"/>
      <c r="E80" s="64"/>
      <c r="F80" s="64" t="s">
        <v>127</v>
      </c>
      <c r="G80" s="64"/>
      <c r="H80" s="77">
        <v>3267</v>
      </c>
      <c r="I80" s="64"/>
      <c r="J80" s="77">
        <v>4017</v>
      </c>
      <c r="K80" s="64"/>
      <c r="L80" s="78">
        <f>ROUND(IF(J80=0, IF(H80=0, 0, 1), H80/J80),5)</f>
        <v>0.81328999999999996</v>
      </c>
      <c r="M80" s="64"/>
      <c r="N80" s="77">
        <v>6626</v>
      </c>
      <c r="O80" s="64"/>
      <c r="P80" s="77">
        <v>7509</v>
      </c>
      <c r="Q80" s="64"/>
      <c r="R80" s="78">
        <f>ROUND(IF(P80=0, IF(N80=0, 0, 1), N80/P80),5)</f>
        <v>0.88241000000000003</v>
      </c>
      <c r="S80" s="64"/>
      <c r="T80" s="77">
        <v>45410</v>
      </c>
      <c r="V80" s="78">
        <f t="shared" si="21"/>
        <v>0.14591000000000001</v>
      </c>
    </row>
    <row r="81" spans="1:22" ht="15" customHeight="1" x14ac:dyDescent="0.2">
      <c r="A81" s="64"/>
      <c r="B81" s="64"/>
      <c r="C81" s="64"/>
      <c r="D81" s="64"/>
      <c r="E81" s="64"/>
      <c r="F81" s="64" t="s">
        <v>128</v>
      </c>
      <c r="G81" s="64"/>
      <c r="H81" s="77">
        <v>388</v>
      </c>
      <c r="I81" s="64"/>
      <c r="J81" s="77">
        <v>369</v>
      </c>
      <c r="K81" s="64"/>
      <c r="L81" s="78">
        <f>ROUND(IF(J81=0, IF(H81=0, 0, 1), H81/J81),5)</f>
        <v>1.05149</v>
      </c>
      <c r="M81" s="64"/>
      <c r="N81" s="77">
        <v>642</v>
      </c>
      <c r="O81" s="64"/>
      <c r="P81" s="77">
        <v>724</v>
      </c>
      <c r="Q81" s="64"/>
      <c r="R81" s="78">
        <f>ROUND(IF(P81=0, IF(N81=0, 0, 1), N81/P81),5)</f>
        <v>0.88673999999999997</v>
      </c>
      <c r="S81" s="64"/>
      <c r="T81" s="77">
        <v>4230</v>
      </c>
      <c r="V81" s="78">
        <f t="shared" si="21"/>
        <v>0.15176999999999999</v>
      </c>
    </row>
    <row r="82" spans="1:22" ht="15" customHeight="1" thickBot="1" x14ac:dyDescent="0.25">
      <c r="A82" s="64"/>
      <c r="B82" s="64"/>
      <c r="C82" s="64"/>
      <c r="D82" s="64"/>
      <c r="E82" s="64"/>
      <c r="F82" s="64" t="s">
        <v>129</v>
      </c>
      <c r="G82" s="64"/>
      <c r="H82" s="80">
        <v>82</v>
      </c>
      <c r="I82" s="64"/>
      <c r="J82" s="80">
        <v>86</v>
      </c>
      <c r="K82" s="64"/>
      <c r="L82" s="81">
        <f>ROUND(IF(J82=0, IF(H82=0, 0, 1), H82/J82),5)</f>
        <v>0.95348999999999995</v>
      </c>
      <c r="M82" s="64"/>
      <c r="N82" s="80">
        <v>164</v>
      </c>
      <c r="O82" s="64"/>
      <c r="P82" s="80">
        <v>168</v>
      </c>
      <c r="Q82" s="64"/>
      <c r="R82" s="81">
        <f>ROUND(IF(P82=0, IF(N82=0, 0, 1), N82/P82),5)</f>
        <v>0.97619</v>
      </c>
      <c r="S82" s="64"/>
      <c r="T82" s="80">
        <v>990</v>
      </c>
      <c r="V82" s="81">
        <f t="shared" si="21"/>
        <v>0.16566</v>
      </c>
    </row>
    <row r="83" spans="1:22" ht="15" customHeight="1" thickBot="1" x14ac:dyDescent="0.25">
      <c r="A83" s="64"/>
      <c r="B83" s="64"/>
      <c r="C83" s="64"/>
      <c r="D83" s="64"/>
      <c r="E83" s="64"/>
      <c r="F83" s="64" t="s">
        <v>130</v>
      </c>
      <c r="G83" s="64"/>
      <c r="H83" s="80">
        <v>0</v>
      </c>
      <c r="I83" s="64"/>
      <c r="J83" s="80"/>
      <c r="K83" s="64"/>
      <c r="L83" s="81"/>
      <c r="M83" s="64"/>
      <c r="N83" s="80">
        <v>0</v>
      </c>
      <c r="O83" s="64"/>
      <c r="P83" s="80"/>
      <c r="Q83" s="64"/>
      <c r="R83" s="81"/>
      <c r="S83" s="64"/>
      <c r="T83" s="80"/>
      <c r="V83" s="81">
        <f t="shared" si="21"/>
        <v>0</v>
      </c>
    </row>
    <row r="84" spans="1:22" ht="15" customHeight="1" x14ac:dyDescent="0.2">
      <c r="A84" s="64"/>
      <c r="B84" s="64"/>
      <c r="C84" s="64"/>
      <c r="D84" s="64"/>
      <c r="E84" s="64" t="s">
        <v>131</v>
      </c>
      <c r="F84" s="64"/>
      <c r="G84" s="64"/>
      <c r="H84" s="77">
        <f>ROUND(SUM(H77:H83),5)</f>
        <v>52170</v>
      </c>
      <c r="I84" s="64"/>
      <c r="J84" s="77">
        <f>ROUND(SUM(J77:J83),5)</f>
        <v>61134</v>
      </c>
      <c r="K84" s="64"/>
      <c r="L84" s="78">
        <f>ROUND(IF(J84=0, IF(H84=0, 0, 1), H84/J84),5)</f>
        <v>0.85336999999999996</v>
      </c>
      <c r="M84" s="64"/>
      <c r="N84" s="77">
        <f>ROUND(SUM(N77:N83),5)</f>
        <v>106757</v>
      </c>
      <c r="O84" s="64"/>
      <c r="P84" s="77">
        <f>ROUND(SUM(P77:P83),5)</f>
        <v>114329</v>
      </c>
      <c r="Q84" s="64"/>
      <c r="R84" s="78">
        <f>ROUND(IF(P84=0, IF(N84=0, 0, 1), N84/P84),5)</f>
        <v>0.93376999999999999</v>
      </c>
      <c r="S84" s="64"/>
      <c r="T84" s="77">
        <f>ROUND(SUM(T77:T83),5)</f>
        <v>691170</v>
      </c>
      <c r="V84" s="78">
        <f t="shared" si="21"/>
        <v>0.15445999999999999</v>
      </c>
    </row>
    <row r="85" spans="1:22" ht="15" customHeight="1" x14ac:dyDescent="0.2">
      <c r="A85" s="64"/>
      <c r="B85" s="64"/>
      <c r="C85" s="64"/>
      <c r="D85" s="64"/>
      <c r="E85" s="64" t="s">
        <v>132</v>
      </c>
      <c r="F85" s="64"/>
      <c r="G85" s="64"/>
      <c r="H85" s="77"/>
      <c r="I85" s="64"/>
      <c r="J85" s="77"/>
      <c r="K85" s="64"/>
      <c r="L85" s="78"/>
      <c r="M85" s="64"/>
      <c r="N85" s="77"/>
      <c r="O85" s="64"/>
      <c r="P85" s="77"/>
      <c r="Q85" s="64"/>
      <c r="R85" s="78"/>
      <c r="S85" s="64"/>
      <c r="T85" s="77"/>
      <c r="V85" s="78"/>
    </row>
    <row r="86" spans="1:22" ht="15" customHeight="1" x14ac:dyDescent="0.2">
      <c r="A86" s="64"/>
      <c r="B86" s="64"/>
      <c r="C86" s="64"/>
      <c r="D86" s="64"/>
      <c r="E86" s="64"/>
      <c r="F86" s="64" t="s">
        <v>133</v>
      </c>
      <c r="G86" s="64"/>
      <c r="H86" s="77">
        <v>0</v>
      </c>
      <c r="I86" s="64"/>
      <c r="J86" s="77">
        <v>250</v>
      </c>
      <c r="K86" s="64"/>
      <c r="L86" s="78">
        <f t="shared" ref="L86:L93" si="22">ROUND(IF(J86=0, IF(H86=0, 0, 1), H86/J86),5)</f>
        <v>0</v>
      </c>
      <c r="M86" s="64"/>
      <c r="N86" s="77">
        <v>0</v>
      </c>
      <c r="O86" s="64"/>
      <c r="P86" s="77">
        <v>250</v>
      </c>
      <c r="Q86" s="64"/>
      <c r="R86" s="78">
        <f t="shared" ref="R86:R93" si="23">ROUND(IF(P86=0, IF(N86=0, 0, 1), N86/P86),5)</f>
        <v>0</v>
      </c>
      <c r="S86" s="64"/>
      <c r="T86" s="77">
        <v>12500</v>
      </c>
      <c r="V86" s="78">
        <f t="shared" ref="V86:V148" si="24">ROUND(IF(T86=0, IF(N86=0, 0, 1), N86/T86),5)</f>
        <v>0</v>
      </c>
    </row>
    <row r="87" spans="1:22" ht="15" customHeight="1" x14ac:dyDescent="0.2">
      <c r="A87" s="64"/>
      <c r="B87" s="64"/>
      <c r="C87" s="64"/>
      <c r="D87" s="64"/>
      <c r="E87" s="64"/>
      <c r="F87" s="64" t="s">
        <v>134</v>
      </c>
      <c r="G87" s="64"/>
      <c r="H87" s="77">
        <v>1050</v>
      </c>
      <c r="I87" s="64"/>
      <c r="J87" s="77">
        <v>1000</v>
      </c>
      <c r="K87" s="64"/>
      <c r="L87" s="78">
        <f t="shared" si="22"/>
        <v>1.05</v>
      </c>
      <c r="M87" s="64"/>
      <c r="N87" s="77">
        <v>1050</v>
      </c>
      <c r="O87" s="64"/>
      <c r="P87" s="77">
        <v>2000</v>
      </c>
      <c r="Q87" s="64"/>
      <c r="R87" s="78">
        <f t="shared" si="23"/>
        <v>0.52500000000000002</v>
      </c>
      <c r="S87" s="64"/>
      <c r="T87" s="77">
        <v>10000</v>
      </c>
      <c r="V87" s="78">
        <f t="shared" si="24"/>
        <v>0.105</v>
      </c>
    </row>
    <row r="88" spans="1:22" ht="15" customHeight="1" x14ac:dyDescent="0.2">
      <c r="A88" s="64"/>
      <c r="B88" s="64"/>
      <c r="C88" s="64"/>
      <c r="D88" s="64"/>
      <c r="E88" s="64"/>
      <c r="F88" s="64" t="s">
        <v>135</v>
      </c>
      <c r="G88" s="64"/>
      <c r="H88" s="77">
        <v>194</v>
      </c>
      <c r="I88" s="64"/>
      <c r="J88" s="77">
        <v>230</v>
      </c>
      <c r="K88" s="64"/>
      <c r="L88" s="78">
        <f t="shared" si="22"/>
        <v>0.84348000000000001</v>
      </c>
      <c r="M88" s="64"/>
      <c r="N88" s="77">
        <v>387</v>
      </c>
      <c r="O88" s="64"/>
      <c r="P88" s="77">
        <v>460</v>
      </c>
      <c r="Q88" s="64"/>
      <c r="R88" s="78">
        <f t="shared" si="23"/>
        <v>0.84130000000000005</v>
      </c>
      <c r="S88" s="64"/>
      <c r="T88" s="77">
        <v>2980</v>
      </c>
      <c r="V88" s="78">
        <f t="shared" si="24"/>
        <v>0.12987000000000001</v>
      </c>
    </row>
    <row r="89" spans="1:22" ht="15" customHeight="1" x14ac:dyDescent="0.2">
      <c r="A89" s="64"/>
      <c r="B89" s="64"/>
      <c r="C89" s="64"/>
      <c r="D89" s="64"/>
      <c r="E89" s="64"/>
      <c r="F89" s="64" t="s">
        <v>136</v>
      </c>
      <c r="G89" s="64"/>
      <c r="H89" s="77">
        <v>225</v>
      </c>
      <c r="I89" s="64"/>
      <c r="J89" s="77">
        <v>299</v>
      </c>
      <c r="K89" s="64"/>
      <c r="L89" s="78">
        <f t="shared" si="22"/>
        <v>0.75251000000000001</v>
      </c>
      <c r="M89" s="64"/>
      <c r="N89" s="77">
        <v>580</v>
      </c>
      <c r="O89" s="64"/>
      <c r="P89" s="77">
        <v>739</v>
      </c>
      <c r="Q89" s="64"/>
      <c r="R89" s="78">
        <f t="shared" si="23"/>
        <v>0.78483999999999998</v>
      </c>
      <c r="S89" s="64"/>
      <c r="T89" s="77">
        <v>4650</v>
      </c>
      <c r="V89" s="78">
        <f t="shared" si="24"/>
        <v>0.12472999999999999</v>
      </c>
    </row>
    <row r="90" spans="1:22" ht="15" customHeight="1" x14ac:dyDescent="0.2">
      <c r="A90" s="64"/>
      <c r="B90" s="64"/>
      <c r="C90" s="64"/>
      <c r="D90" s="64"/>
      <c r="E90" s="64"/>
      <c r="F90" s="64" t="s">
        <v>137</v>
      </c>
      <c r="G90" s="64"/>
      <c r="H90" s="77">
        <v>750</v>
      </c>
      <c r="I90" s="64"/>
      <c r="J90" s="77">
        <v>800</v>
      </c>
      <c r="K90" s="64"/>
      <c r="L90" s="78">
        <f t="shared" si="22"/>
        <v>0.9375</v>
      </c>
      <c r="M90" s="64"/>
      <c r="N90" s="77">
        <v>2125</v>
      </c>
      <c r="O90" s="64"/>
      <c r="P90" s="77">
        <v>2175</v>
      </c>
      <c r="Q90" s="64"/>
      <c r="R90" s="78">
        <f t="shared" si="23"/>
        <v>0.97701000000000005</v>
      </c>
      <c r="S90" s="64"/>
      <c r="T90" s="77">
        <v>16630</v>
      </c>
      <c r="V90" s="78">
        <f t="shared" si="24"/>
        <v>0.12778</v>
      </c>
    </row>
    <row r="91" spans="1:22" ht="15" customHeight="1" x14ac:dyDescent="0.2">
      <c r="A91" s="64"/>
      <c r="B91" s="64"/>
      <c r="C91" s="64"/>
      <c r="D91" s="64"/>
      <c r="E91" s="64"/>
      <c r="F91" s="64" t="s">
        <v>138</v>
      </c>
      <c r="G91" s="64"/>
      <c r="H91" s="77">
        <v>0</v>
      </c>
      <c r="I91" s="64"/>
      <c r="J91" s="77">
        <v>0</v>
      </c>
      <c r="K91" s="64"/>
      <c r="L91" s="78">
        <f t="shared" si="22"/>
        <v>0</v>
      </c>
      <c r="M91" s="64"/>
      <c r="N91" s="77">
        <v>0</v>
      </c>
      <c r="O91" s="64"/>
      <c r="P91" s="77">
        <v>0</v>
      </c>
      <c r="Q91" s="64"/>
      <c r="R91" s="78">
        <f t="shared" si="23"/>
        <v>0</v>
      </c>
      <c r="S91" s="64"/>
      <c r="T91" s="77">
        <v>25000</v>
      </c>
      <c r="V91" s="78">
        <f t="shared" si="24"/>
        <v>0</v>
      </c>
    </row>
    <row r="92" spans="1:22" ht="15" customHeight="1" thickBot="1" x14ac:dyDescent="0.25">
      <c r="A92" s="64"/>
      <c r="B92" s="64"/>
      <c r="C92" s="64"/>
      <c r="D92" s="64"/>
      <c r="E92" s="64"/>
      <c r="F92" s="64" t="s">
        <v>139</v>
      </c>
      <c r="G92" s="64"/>
      <c r="H92" s="80">
        <v>3748</v>
      </c>
      <c r="I92" s="64"/>
      <c r="J92" s="80">
        <v>25</v>
      </c>
      <c r="K92" s="64"/>
      <c r="L92" s="81">
        <f t="shared" si="22"/>
        <v>149.91999999999999</v>
      </c>
      <c r="M92" s="64"/>
      <c r="N92" s="80">
        <v>5295</v>
      </c>
      <c r="O92" s="64"/>
      <c r="P92" s="80">
        <v>1550</v>
      </c>
      <c r="Q92" s="64"/>
      <c r="R92" s="81">
        <f t="shared" si="23"/>
        <v>3.4161299999999999</v>
      </c>
      <c r="S92" s="64"/>
      <c r="T92" s="80">
        <v>7240</v>
      </c>
      <c r="V92" s="81">
        <f t="shared" si="24"/>
        <v>0.73134999999999994</v>
      </c>
    </row>
    <row r="93" spans="1:22" ht="15" customHeight="1" x14ac:dyDescent="0.2">
      <c r="A93" s="64"/>
      <c r="B93" s="64"/>
      <c r="C93" s="64"/>
      <c r="D93" s="64"/>
      <c r="E93" s="64" t="s">
        <v>140</v>
      </c>
      <c r="F93" s="64"/>
      <c r="G93" s="64"/>
      <c r="H93" s="77">
        <f>ROUND(SUM(H85:H92),5)</f>
        <v>5967</v>
      </c>
      <c r="I93" s="64"/>
      <c r="J93" s="77">
        <f>ROUND(SUM(J85:J92),5)</f>
        <v>2604</v>
      </c>
      <c r="K93" s="64"/>
      <c r="L93" s="78">
        <f t="shared" si="22"/>
        <v>2.2914699999999999</v>
      </c>
      <c r="M93" s="64"/>
      <c r="N93" s="77">
        <f>ROUND(SUM(N85:N92),5)</f>
        <v>9437</v>
      </c>
      <c r="O93" s="64"/>
      <c r="P93" s="77">
        <f>ROUND(SUM(P85:P92),5)</f>
        <v>7174</v>
      </c>
      <c r="Q93" s="64"/>
      <c r="R93" s="78">
        <f t="shared" si="23"/>
        <v>1.3154399999999999</v>
      </c>
      <c r="S93" s="64"/>
      <c r="T93" s="77">
        <f>ROUND(SUM(T85:T92),5)</f>
        <v>79000</v>
      </c>
      <c r="V93" s="78">
        <f t="shared" si="24"/>
        <v>0.11946</v>
      </c>
    </row>
    <row r="94" spans="1:22" ht="15" customHeight="1" x14ac:dyDescent="0.2">
      <c r="A94" s="64"/>
      <c r="B94" s="64"/>
      <c r="C94" s="64"/>
      <c r="D94" s="64"/>
      <c r="E94" s="64" t="s">
        <v>141</v>
      </c>
      <c r="F94" s="64"/>
      <c r="G94" s="64"/>
      <c r="H94" s="77"/>
      <c r="I94" s="64"/>
      <c r="J94" s="77"/>
      <c r="K94" s="64"/>
      <c r="L94" s="78"/>
      <c r="M94" s="64"/>
      <c r="N94" s="77"/>
      <c r="O94" s="64"/>
      <c r="P94" s="77"/>
      <c r="Q94" s="64"/>
      <c r="R94" s="78"/>
      <c r="S94" s="64"/>
      <c r="T94" s="77"/>
      <c r="V94" s="78"/>
    </row>
    <row r="95" spans="1:22" ht="15" customHeight="1" x14ac:dyDescent="0.2">
      <c r="A95" s="64"/>
      <c r="B95" s="64"/>
      <c r="C95" s="64"/>
      <c r="D95" s="64"/>
      <c r="E95" s="64"/>
      <c r="F95" s="64" t="s">
        <v>142</v>
      </c>
      <c r="G95" s="64"/>
      <c r="H95" s="77">
        <v>886</v>
      </c>
      <c r="I95" s="64"/>
      <c r="J95" s="77">
        <v>762</v>
      </c>
      <c r="K95" s="64"/>
      <c r="L95" s="78">
        <f t="shared" ref="L95:L101" si="25">ROUND(IF(J95=0, IF(H95=0, 0, 1), H95/J95),5)</f>
        <v>1.16273</v>
      </c>
      <c r="M95" s="64"/>
      <c r="N95" s="77">
        <v>2354</v>
      </c>
      <c r="O95" s="64"/>
      <c r="P95" s="77">
        <v>2623</v>
      </c>
      <c r="Q95" s="64"/>
      <c r="R95" s="78">
        <f t="shared" ref="R95:R101" si="26">ROUND(IF(P95=0, IF(N95=0, 0, 1), N95/P95),5)</f>
        <v>0.89744999999999997</v>
      </c>
      <c r="S95" s="64"/>
      <c r="T95" s="77">
        <v>21660</v>
      </c>
      <c r="V95" s="78">
        <f t="shared" si="24"/>
        <v>0.10868</v>
      </c>
    </row>
    <row r="96" spans="1:22" ht="15" customHeight="1" x14ac:dyDescent="0.2">
      <c r="A96" s="64"/>
      <c r="B96" s="64"/>
      <c r="C96" s="64"/>
      <c r="D96" s="64"/>
      <c r="E96" s="64"/>
      <c r="F96" s="64" t="s">
        <v>143</v>
      </c>
      <c r="G96" s="64"/>
      <c r="H96" s="77">
        <v>0</v>
      </c>
      <c r="I96" s="64"/>
      <c r="J96" s="77">
        <v>301</v>
      </c>
      <c r="K96" s="64"/>
      <c r="L96" s="78">
        <f t="shared" si="25"/>
        <v>0</v>
      </c>
      <c r="M96" s="64"/>
      <c r="N96" s="77">
        <v>-18</v>
      </c>
      <c r="O96" s="64"/>
      <c r="P96" s="77">
        <v>411</v>
      </c>
      <c r="Q96" s="64"/>
      <c r="R96" s="78">
        <f t="shared" si="26"/>
        <v>-4.3799999999999999E-2</v>
      </c>
      <c r="S96" s="64"/>
      <c r="T96" s="77">
        <v>6670</v>
      </c>
      <c r="V96" s="78">
        <f t="shared" si="24"/>
        <v>-2.7000000000000001E-3</v>
      </c>
    </row>
    <row r="97" spans="1:22" ht="15" customHeight="1" x14ac:dyDescent="0.2">
      <c r="A97" s="64"/>
      <c r="B97" s="64"/>
      <c r="C97" s="64"/>
      <c r="D97" s="64"/>
      <c r="E97" s="64"/>
      <c r="F97" s="64" t="s">
        <v>144</v>
      </c>
      <c r="G97" s="64"/>
      <c r="H97" s="77">
        <v>0</v>
      </c>
      <c r="I97" s="64"/>
      <c r="J97" s="77">
        <v>0</v>
      </c>
      <c r="K97" s="64"/>
      <c r="L97" s="78">
        <f t="shared" si="25"/>
        <v>0</v>
      </c>
      <c r="M97" s="64"/>
      <c r="N97" s="77">
        <v>0</v>
      </c>
      <c r="O97" s="64"/>
      <c r="P97" s="77">
        <v>0</v>
      </c>
      <c r="Q97" s="64"/>
      <c r="R97" s="78">
        <f t="shared" si="26"/>
        <v>0</v>
      </c>
      <c r="S97" s="64"/>
      <c r="T97" s="77">
        <v>3000</v>
      </c>
      <c r="V97" s="78">
        <f t="shared" si="24"/>
        <v>0</v>
      </c>
    </row>
    <row r="98" spans="1:22" ht="15" customHeight="1" x14ac:dyDescent="0.2">
      <c r="A98" s="64"/>
      <c r="B98" s="64"/>
      <c r="C98" s="64"/>
      <c r="D98" s="64"/>
      <c r="E98" s="64"/>
      <c r="F98" s="64" t="s">
        <v>145</v>
      </c>
      <c r="G98" s="64"/>
      <c r="H98" s="77">
        <v>0</v>
      </c>
      <c r="I98" s="64"/>
      <c r="J98" s="77">
        <v>0</v>
      </c>
      <c r="K98" s="64"/>
      <c r="L98" s="78">
        <f t="shared" si="25"/>
        <v>0</v>
      </c>
      <c r="M98" s="64"/>
      <c r="N98" s="77">
        <v>0</v>
      </c>
      <c r="O98" s="64"/>
      <c r="P98" s="77">
        <v>0</v>
      </c>
      <c r="Q98" s="64"/>
      <c r="R98" s="78">
        <f t="shared" si="26"/>
        <v>0</v>
      </c>
      <c r="S98" s="64"/>
      <c r="T98" s="77">
        <v>68000</v>
      </c>
      <c r="V98" s="78">
        <f t="shared" si="24"/>
        <v>0</v>
      </c>
    </row>
    <row r="99" spans="1:22" ht="15" customHeight="1" x14ac:dyDescent="0.2">
      <c r="A99" s="64"/>
      <c r="B99" s="64"/>
      <c r="C99" s="64"/>
      <c r="D99" s="64"/>
      <c r="E99" s="64"/>
      <c r="F99" s="64" t="s">
        <v>146</v>
      </c>
      <c r="G99" s="64"/>
      <c r="H99" s="77">
        <v>7092</v>
      </c>
      <c r="I99" s="64"/>
      <c r="J99" s="77">
        <v>4190</v>
      </c>
      <c r="K99" s="64"/>
      <c r="L99" s="78">
        <f t="shared" si="25"/>
        <v>1.6926000000000001</v>
      </c>
      <c r="M99" s="64"/>
      <c r="N99" s="77">
        <v>10025</v>
      </c>
      <c r="O99" s="64"/>
      <c r="P99" s="77">
        <v>8528</v>
      </c>
      <c r="Q99" s="64"/>
      <c r="R99" s="78">
        <f t="shared" si="26"/>
        <v>1.17554</v>
      </c>
      <c r="S99" s="64"/>
      <c r="T99" s="77">
        <v>79890</v>
      </c>
      <c r="V99" s="78">
        <f t="shared" si="24"/>
        <v>0.12548999999999999</v>
      </c>
    </row>
    <row r="100" spans="1:22" ht="15" customHeight="1" thickBot="1" x14ac:dyDescent="0.25">
      <c r="A100" s="64"/>
      <c r="B100" s="64"/>
      <c r="C100" s="64"/>
      <c r="D100" s="64"/>
      <c r="E100" s="64"/>
      <c r="F100" s="64" t="s">
        <v>147</v>
      </c>
      <c r="G100" s="64"/>
      <c r="H100" s="80">
        <v>0</v>
      </c>
      <c r="I100" s="64"/>
      <c r="J100" s="80">
        <v>0</v>
      </c>
      <c r="K100" s="64"/>
      <c r="L100" s="81">
        <f t="shared" si="25"/>
        <v>0</v>
      </c>
      <c r="M100" s="64"/>
      <c r="N100" s="80">
        <v>0</v>
      </c>
      <c r="O100" s="64"/>
      <c r="P100" s="80">
        <v>0</v>
      </c>
      <c r="Q100" s="64"/>
      <c r="R100" s="81">
        <f t="shared" si="26"/>
        <v>0</v>
      </c>
      <c r="S100" s="64"/>
      <c r="T100" s="80">
        <v>5850</v>
      </c>
      <c r="V100" s="81">
        <f t="shared" si="24"/>
        <v>0</v>
      </c>
    </row>
    <row r="101" spans="1:22" ht="15" customHeight="1" x14ac:dyDescent="0.2">
      <c r="A101" s="64"/>
      <c r="B101" s="64"/>
      <c r="C101" s="64"/>
      <c r="D101" s="64"/>
      <c r="E101" s="64" t="s">
        <v>148</v>
      </c>
      <c r="F101" s="64"/>
      <c r="G101" s="64"/>
      <c r="H101" s="77">
        <f>ROUND(SUM(H94:H100),5)</f>
        <v>7978</v>
      </c>
      <c r="I101" s="64"/>
      <c r="J101" s="77">
        <f>ROUND(SUM(J94:J100),5)</f>
        <v>5253</v>
      </c>
      <c r="K101" s="64"/>
      <c r="L101" s="78">
        <f t="shared" si="25"/>
        <v>1.51875</v>
      </c>
      <c r="M101" s="64"/>
      <c r="N101" s="77">
        <f>ROUND(SUM(N94:N100),5)</f>
        <v>12361</v>
      </c>
      <c r="O101" s="64"/>
      <c r="P101" s="77">
        <f>ROUND(SUM(P94:P100),5)</f>
        <v>11562</v>
      </c>
      <c r="Q101" s="64"/>
      <c r="R101" s="78">
        <f t="shared" si="26"/>
        <v>1.06911</v>
      </c>
      <c r="S101" s="64"/>
      <c r="T101" s="77">
        <f>ROUND(SUM(T94:T100),5)</f>
        <v>185070</v>
      </c>
      <c r="V101" s="78">
        <f t="shared" si="24"/>
        <v>6.6790000000000002E-2</v>
      </c>
    </row>
    <row r="102" spans="1:22" ht="15" customHeight="1" x14ac:dyDescent="0.2">
      <c r="A102" s="64"/>
      <c r="B102" s="64"/>
      <c r="C102" s="64"/>
      <c r="D102" s="64"/>
      <c r="E102" s="64" t="s">
        <v>149</v>
      </c>
      <c r="F102" s="64"/>
      <c r="G102" s="64"/>
      <c r="H102" s="77"/>
      <c r="I102" s="64"/>
      <c r="J102" s="77"/>
      <c r="K102" s="64"/>
      <c r="L102" s="78"/>
      <c r="M102" s="64"/>
      <c r="N102" s="77"/>
      <c r="O102" s="64"/>
      <c r="P102" s="77"/>
      <c r="Q102" s="64"/>
      <c r="R102" s="78"/>
      <c r="S102" s="64"/>
      <c r="T102" s="77"/>
      <c r="V102" s="78"/>
    </row>
    <row r="103" spans="1:22" ht="15" customHeight="1" x14ac:dyDescent="0.2">
      <c r="A103" s="64"/>
      <c r="B103" s="64"/>
      <c r="C103" s="64"/>
      <c r="D103" s="64"/>
      <c r="E103" s="64"/>
      <c r="F103" s="64" t="s">
        <v>150</v>
      </c>
      <c r="G103" s="64"/>
      <c r="H103" s="77">
        <v>838</v>
      </c>
      <c r="I103" s="64"/>
      <c r="J103" s="77">
        <v>1371</v>
      </c>
      <c r="K103" s="64"/>
      <c r="L103" s="78">
        <f t="shared" ref="L103:L112" si="27">ROUND(IF(J103=0, IF(H103=0, 0, 1), H103/J103),5)</f>
        <v>0.61123000000000005</v>
      </c>
      <c r="M103" s="64"/>
      <c r="N103" s="77">
        <v>2025</v>
      </c>
      <c r="O103" s="64"/>
      <c r="P103" s="77">
        <v>2952</v>
      </c>
      <c r="Q103" s="64"/>
      <c r="R103" s="78">
        <f t="shared" ref="R103:R112" si="28">ROUND(IF(P103=0, IF(N103=0, 0, 1), N103/P103),5)</f>
        <v>0.68598000000000003</v>
      </c>
      <c r="S103" s="64"/>
      <c r="T103" s="77">
        <v>20710</v>
      </c>
      <c r="V103" s="78">
        <f t="shared" si="24"/>
        <v>9.7780000000000006E-2</v>
      </c>
    </row>
    <row r="104" spans="1:22" ht="15" customHeight="1" x14ac:dyDescent="0.2">
      <c r="A104" s="64"/>
      <c r="B104" s="64"/>
      <c r="C104" s="64"/>
      <c r="D104" s="64"/>
      <c r="E104" s="64"/>
      <c r="F104" s="64" t="s">
        <v>151</v>
      </c>
      <c r="G104" s="64"/>
      <c r="H104" s="77">
        <v>314</v>
      </c>
      <c r="I104" s="64"/>
      <c r="J104" s="77">
        <v>340</v>
      </c>
      <c r="K104" s="64"/>
      <c r="L104" s="78">
        <f t="shared" si="27"/>
        <v>0.92352999999999996</v>
      </c>
      <c r="M104" s="64"/>
      <c r="N104" s="77">
        <v>630</v>
      </c>
      <c r="O104" s="64"/>
      <c r="P104" s="77">
        <v>680</v>
      </c>
      <c r="Q104" s="64"/>
      <c r="R104" s="78">
        <f t="shared" si="28"/>
        <v>0.92647000000000002</v>
      </c>
      <c r="S104" s="64"/>
      <c r="T104" s="77">
        <v>4080</v>
      </c>
      <c r="V104" s="78">
        <f t="shared" si="24"/>
        <v>0.15440999999999999</v>
      </c>
    </row>
    <row r="105" spans="1:22" ht="15" customHeight="1" x14ac:dyDescent="0.2">
      <c r="A105" s="64"/>
      <c r="B105" s="64"/>
      <c r="C105" s="64"/>
      <c r="D105" s="64"/>
      <c r="E105" s="64"/>
      <c r="F105" s="64" t="s">
        <v>152</v>
      </c>
      <c r="G105" s="64"/>
      <c r="H105" s="77">
        <v>1843</v>
      </c>
      <c r="I105" s="64"/>
      <c r="J105" s="77">
        <v>2650</v>
      </c>
      <c r="K105" s="64"/>
      <c r="L105" s="78">
        <f t="shared" si="27"/>
        <v>0.69547000000000003</v>
      </c>
      <c r="M105" s="64"/>
      <c r="N105" s="77">
        <v>3843</v>
      </c>
      <c r="O105" s="64"/>
      <c r="P105" s="77">
        <v>4240</v>
      </c>
      <c r="Q105" s="64"/>
      <c r="R105" s="78">
        <f t="shared" si="28"/>
        <v>0.90637000000000001</v>
      </c>
      <c r="S105" s="64"/>
      <c r="T105" s="77">
        <v>30160</v>
      </c>
      <c r="V105" s="78">
        <f t="shared" si="24"/>
        <v>0.12742000000000001</v>
      </c>
    </row>
    <row r="106" spans="1:22" ht="15" customHeight="1" x14ac:dyDescent="0.2">
      <c r="A106" s="64"/>
      <c r="B106" s="64"/>
      <c r="C106" s="64"/>
      <c r="D106" s="64"/>
      <c r="E106" s="64"/>
      <c r="F106" s="64" t="s">
        <v>153</v>
      </c>
      <c r="G106" s="64"/>
      <c r="H106" s="77">
        <v>1456</v>
      </c>
      <c r="I106" s="64"/>
      <c r="J106" s="77">
        <v>1412</v>
      </c>
      <c r="K106" s="64"/>
      <c r="L106" s="78">
        <f t="shared" si="27"/>
        <v>1.0311600000000001</v>
      </c>
      <c r="M106" s="64"/>
      <c r="N106" s="77">
        <v>2916</v>
      </c>
      <c r="O106" s="64"/>
      <c r="P106" s="77">
        <v>2783</v>
      </c>
      <c r="Q106" s="64"/>
      <c r="R106" s="78">
        <f t="shared" si="28"/>
        <v>1.04779</v>
      </c>
      <c r="S106" s="64"/>
      <c r="T106" s="77">
        <v>21050</v>
      </c>
      <c r="V106" s="78">
        <f t="shared" si="24"/>
        <v>0.13852999999999999</v>
      </c>
    </row>
    <row r="107" spans="1:22" ht="15" customHeight="1" x14ac:dyDescent="0.2">
      <c r="A107" s="64"/>
      <c r="B107" s="64"/>
      <c r="C107" s="64"/>
      <c r="D107" s="64"/>
      <c r="E107" s="64"/>
      <c r="F107" s="64" t="s">
        <v>154</v>
      </c>
      <c r="G107" s="64"/>
      <c r="H107" s="77">
        <v>140</v>
      </c>
      <c r="I107" s="64"/>
      <c r="J107" s="77">
        <v>138</v>
      </c>
      <c r="K107" s="64"/>
      <c r="L107" s="78">
        <f t="shared" si="27"/>
        <v>1.0144899999999999</v>
      </c>
      <c r="M107" s="64"/>
      <c r="N107" s="77">
        <v>281</v>
      </c>
      <c r="O107" s="64"/>
      <c r="P107" s="77">
        <v>276</v>
      </c>
      <c r="Q107" s="64"/>
      <c r="R107" s="78">
        <f t="shared" si="28"/>
        <v>1.0181199999999999</v>
      </c>
      <c r="S107" s="64"/>
      <c r="T107" s="77">
        <v>1800</v>
      </c>
      <c r="V107" s="78">
        <f t="shared" si="24"/>
        <v>0.15611</v>
      </c>
    </row>
    <row r="108" spans="1:22" ht="15" customHeight="1" x14ac:dyDescent="0.2">
      <c r="A108" s="64"/>
      <c r="B108" s="64"/>
      <c r="C108" s="64"/>
      <c r="D108" s="64"/>
      <c r="E108" s="64"/>
      <c r="F108" s="64" t="s">
        <v>155</v>
      </c>
      <c r="G108" s="64"/>
      <c r="H108" s="77">
        <v>282</v>
      </c>
      <c r="I108" s="64"/>
      <c r="J108" s="77">
        <v>264</v>
      </c>
      <c r="K108" s="64"/>
      <c r="L108" s="78">
        <f t="shared" si="27"/>
        <v>1.0681799999999999</v>
      </c>
      <c r="M108" s="64"/>
      <c r="N108" s="77">
        <v>282</v>
      </c>
      <c r="O108" s="64"/>
      <c r="P108" s="77">
        <v>264</v>
      </c>
      <c r="Q108" s="64"/>
      <c r="R108" s="78">
        <f t="shared" si="28"/>
        <v>1.0681799999999999</v>
      </c>
      <c r="S108" s="64"/>
      <c r="T108" s="77">
        <v>620</v>
      </c>
      <c r="V108" s="78">
        <f t="shared" si="24"/>
        <v>0.45484000000000002</v>
      </c>
    </row>
    <row r="109" spans="1:22" ht="15" customHeight="1" x14ac:dyDescent="0.2">
      <c r="A109" s="64"/>
      <c r="B109" s="64"/>
      <c r="C109" s="64"/>
      <c r="D109" s="64"/>
      <c r="E109" s="64"/>
      <c r="F109" s="64" t="s">
        <v>156</v>
      </c>
      <c r="G109" s="64"/>
      <c r="H109" s="77">
        <v>3960</v>
      </c>
      <c r="I109" s="64"/>
      <c r="J109" s="77">
        <v>3960</v>
      </c>
      <c r="K109" s="64"/>
      <c r="L109" s="78">
        <f t="shared" si="27"/>
        <v>1</v>
      </c>
      <c r="M109" s="64"/>
      <c r="N109" s="77">
        <v>7921</v>
      </c>
      <c r="O109" s="64"/>
      <c r="P109" s="77">
        <v>7920</v>
      </c>
      <c r="Q109" s="64"/>
      <c r="R109" s="78">
        <f t="shared" si="28"/>
        <v>1.00013</v>
      </c>
      <c r="S109" s="64"/>
      <c r="T109" s="77">
        <v>47470</v>
      </c>
      <c r="V109" s="78">
        <f t="shared" si="24"/>
        <v>0.16686000000000001</v>
      </c>
    </row>
    <row r="110" spans="1:22" ht="15" customHeight="1" x14ac:dyDescent="0.2">
      <c r="A110" s="64"/>
      <c r="B110" s="64"/>
      <c r="C110" s="64"/>
      <c r="D110" s="64"/>
      <c r="E110" s="64"/>
      <c r="F110" s="64" t="s">
        <v>157</v>
      </c>
      <c r="G110" s="64"/>
      <c r="H110" s="77">
        <v>17</v>
      </c>
      <c r="I110" s="64"/>
      <c r="J110" s="77">
        <v>10</v>
      </c>
      <c r="K110" s="64"/>
      <c r="L110" s="78">
        <f t="shared" si="27"/>
        <v>1.7</v>
      </c>
      <c r="M110" s="64"/>
      <c r="N110" s="77">
        <v>17</v>
      </c>
      <c r="O110" s="64"/>
      <c r="P110" s="77">
        <v>111</v>
      </c>
      <c r="Q110" s="64"/>
      <c r="R110" s="78">
        <f t="shared" si="28"/>
        <v>0.15315000000000001</v>
      </c>
      <c r="S110" s="64"/>
      <c r="T110" s="77">
        <v>450</v>
      </c>
      <c r="V110" s="78">
        <f t="shared" si="24"/>
        <v>3.7780000000000001E-2</v>
      </c>
    </row>
    <row r="111" spans="1:22" ht="15" customHeight="1" thickBot="1" x14ac:dyDescent="0.25">
      <c r="A111" s="64"/>
      <c r="B111" s="64"/>
      <c r="C111" s="64"/>
      <c r="D111" s="64"/>
      <c r="E111" s="64"/>
      <c r="F111" s="64" t="s">
        <v>158</v>
      </c>
      <c r="G111" s="64"/>
      <c r="H111" s="80">
        <v>0</v>
      </c>
      <c r="I111" s="64"/>
      <c r="J111" s="80">
        <v>250</v>
      </c>
      <c r="K111" s="64"/>
      <c r="L111" s="81">
        <f t="shared" si="27"/>
        <v>0</v>
      </c>
      <c r="M111" s="64"/>
      <c r="N111" s="80">
        <v>0</v>
      </c>
      <c r="O111" s="64"/>
      <c r="P111" s="80">
        <v>250</v>
      </c>
      <c r="Q111" s="64"/>
      <c r="R111" s="81">
        <f t="shared" si="28"/>
        <v>0</v>
      </c>
      <c r="S111" s="64"/>
      <c r="T111" s="80">
        <v>1000</v>
      </c>
      <c r="V111" s="81">
        <f t="shared" si="24"/>
        <v>0</v>
      </c>
    </row>
    <row r="112" spans="1:22" ht="15" customHeight="1" x14ac:dyDescent="0.2">
      <c r="A112" s="64"/>
      <c r="B112" s="64"/>
      <c r="C112" s="64"/>
      <c r="D112" s="64"/>
      <c r="E112" s="64" t="s">
        <v>159</v>
      </c>
      <c r="F112" s="64"/>
      <c r="G112" s="64"/>
      <c r="H112" s="77">
        <f>ROUND(SUM(H102:H111),5)</f>
        <v>8850</v>
      </c>
      <c r="I112" s="64"/>
      <c r="J112" s="77">
        <f>ROUND(SUM(J102:J111),5)</f>
        <v>10395</v>
      </c>
      <c r="K112" s="64"/>
      <c r="L112" s="78">
        <f t="shared" si="27"/>
        <v>0.85136999999999996</v>
      </c>
      <c r="M112" s="64"/>
      <c r="N112" s="77">
        <f>ROUND(SUM(N102:N111),5)</f>
        <v>17915</v>
      </c>
      <c r="O112" s="64"/>
      <c r="P112" s="77">
        <f>ROUND(SUM(P102:P111),5)</f>
        <v>19476</v>
      </c>
      <c r="Q112" s="64"/>
      <c r="R112" s="78">
        <f t="shared" si="28"/>
        <v>0.91984999999999995</v>
      </c>
      <c r="S112" s="64"/>
      <c r="T112" s="77">
        <f>ROUND(SUM(T102:T111),5)</f>
        <v>127340</v>
      </c>
      <c r="V112" s="78">
        <f t="shared" si="24"/>
        <v>0.14069000000000001</v>
      </c>
    </row>
    <row r="113" spans="1:22" ht="15" customHeight="1" x14ac:dyDescent="0.2">
      <c r="A113" s="64"/>
      <c r="B113" s="64"/>
      <c r="C113" s="64"/>
      <c r="D113" s="64"/>
      <c r="E113" s="64" t="s">
        <v>160</v>
      </c>
      <c r="F113" s="64"/>
      <c r="G113" s="64"/>
      <c r="H113" s="77"/>
      <c r="I113" s="64"/>
      <c r="J113" s="77"/>
      <c r="K113" s="64"/>
      <c r="L113" s="78"/>
      <c r="M113" s="64"/>
      <c r="N113" s="77"/>
      <c r="O113" s="64"/>
      <c r="P113" s="77"/>
      <c r="Q113" s="64"/>
      <c r="R113" s="78"/>
      <c r="S113" s="64"/>
      <c r="T113" s="77"/>
      <c r="V113" s="78"/>
    </row>
    <row r="114" spans="1:22" ht="15" customHeight="1" x14ac:dyDescent="0.2">
      <c r="A114" s="64"/>
      <c r="B114" s="64"/>
      <c r="C114" s="64"/>
      <c r="D114" s="64"/>
      <c r="E114" s="64"/>
      <c r="F114" s="64" t="s">
        <v>161</v>
      </c>
      <c r="G114" s="64"/>
      <c r="H114" s="77">
        <v>746</v>
      </c>
      <c r="I114" s="64"/>
      <c r="J114" s="77">
        <v>325</v>
      </c>
      <c r="K114" s="64"/>
      <c r="L114" s="78">
        <f>ROUND(IF(J114=0, IF(H114=0, 0, 1), H114/J114),5)</f>
        <v>2.2953800000000002</v>
      </c>
      <c r="M114" s="64"/>
      <c r="N114" s="77">
        <v>1200</v>
      </c>
      <c r="O114" s="64"/>
      <c r="P114" s="77">
        <v>688</v>
      </c>
      <c r="Q114" s="64"/>
      <c r="R114" s="78">
        <f>ROUND(IF(P114=0, IF(N114=0, 0, 1), N114/P114),5)</f>
        <v>1.7441899999999999</v>
      </c>
      <c r="S114" s="64"/>
      <c r="T114" s="77">
        <v>8920</v>
      </c>
      <c r="V114" s="78">
        <f t="shared" si="24"/>
        <v>0.13453000000000001</v>
      </c>
    </row>
    <row r="115" spans="1:22" ht="15" customHeight="1" x14ac:dyDescent="0.2">
      <c r="A115" s="64"/>
      <c r="B115" s="64"/>
      <c r="C115" s="64"/>
      <c r="D115" s="64"/>
      <c r="E115" s="64"/>
      <c r="F115" s="64" t="s">
        <v>162</v>
      </c>
      <c r="G115" s="64"/>
      <c r="H115" s="77">
        <v>126</v>
      </c>
      <c r="I115" s="64"/>
      <c r="J115" s="77">
        <v>180</v>
      </c>
      <c r="K115" s="64"/>
      <c r="L115" s="78">
        <f>ROUND(IF(J115=0, IF(H115=0, 0, 1), H115/J115),5)</f>
        <v>0.7</v>
      </c>
      <c r="M115" s="64"/>
      <c r="N115" s="77">
        <v>493</v>
      </c>
      <c r="O115" s="64"/>
      <c r="P115" s="77">
        <v>264</v>
      </c>
      <c r="Q115" s="64"/>
      <c r="R115" s="78">
        <f>ROUND(IF(P115=0, IF(N115=0, 0, 1), N115/P115),5)</f>
        <v>1.8674200000000001</v>
      </c>
      <c r="S115" s="64"/>
      <c r="T115" s="77">
        <v>2820</v>
      </c>
      <c r="V115" s="78">
        <f t="shared" si="24"/>
        <v>0.17482</v>
      </c>
    </row>
    <row r="116" spans="1:22" ht="15" customHeight="1" x14ac:dyDescent="0.2">
      <c r="A116" s="64"/>
      <c r="B116" s="64"/>
      <c r="C116" s="64"/>
      <c r="D116" s="64"/>
      <c r="E116" s="64"/>
      <c r="F116" s="64" t="s">
        <v>163</v>
      </c>
      <c r="G116" s="64"/>
      <c r="H116" s="77">
        <v>644</v>
      </c>
      <c r="I116" s="64"/>
      <c r="J116" s="77">
        <v>750</v>
      </c>
      <c r="K116" s="64"/>
      <c r="L116" s="78">
        <f>ROUND(IF(J116=0, IF(H116=0, 0, 1), H116/J116),5)</f>
        <v>0.85867000000000004</v>
      </c>
      <c r="M116" s="64"/>
      <c r="N116" s="77">
        <v>652</v>
      </c>
      <c r="O116" s="64"/>
      <c r="P116" s="77">
        <v>750</v>
      </c>
      <c r="Q116" s="64"/>
      <c r="R116" s="78">
        <f>ROUND(IF(P116=0, IF(N116=0, 0, 1), N116/P116),5)</f>
        <v>0.86933000000000005</v>
      </c>
      <c r="S116" s="64"/>
      <c r="T116" s="77">
        <v>2000</v>
      </c>
      <c r="V116" s="78">
        <f t="shared" si="24"/>
        <v>0.32600000000000001</v>
      </c>
    </row>
    <row r="117" spans="1:22" ht="15" customHeight="1" thickBot="1" x14ac:dyDescent="0.25">
      <c r="A117" s="64"/>
      <c r="B117" s="64"/>
      <c r="C117" s="64"/>
      <c r="D117" s="64"/>
      <c r="E117" s="64"/>
      <c r="F117" s="64" t="s">
        <v>164</v>
      </c>
      <c r="G117" s="64"/>
      <c r="H117" s="80">
        <v>1853</v>
      </c>
      <c r="I117" s="64"/>
      <c r="J117" s="80">
        <v>701</v>
      </c>
      <c r="K117" s="64"/>
      <c r="L117" s="81">
        <f>ROUND(IF(J117=0, IF(H117=0, 0, 1), H117/J117),5)</f>
        <v>2.64337</v>
      </c>
      <c r="M117" s="64"/>
      <c r="N117" s="80">
        <v>2522</v>
      </c>
      <c r="O117" s="64"/>
      <c r="P117" s="80">
        <v>1319</v>
      </c>
      <c r="Q117" s="64"/>
      <c r="R117" s="81">
        <f>ROUND(IF(P117=0, IF(N117=0, 0, 1), N117/P117),5)</f>
        <v>1.91205</v>
      </c>
      <c r="S117" s="64"/>
      <c r="T117" s="80">
        <v>19410</v>
      </c>
      <c r="V117" s="81">
        <f t="shared" si="24"/>
        <v>0.12992999999999999</v>
      </c>
    </row>
    <row r="118" spans="1:22" ht="15" customHeight="1" x14ac:dyDescent="0.2">
      <c r="A118" s="64"/>
      <c r="B118" s="64"/>
      <c r="C118" s="64"/>
      <c r="D118" s="64"/>
      <c r="E118" s="64" t="s">
        <v>165</v>
      </c>
      <c r="F118" s="64"/>
      <c r="G118" s="64"/>
      <c r="H118" s="77">
        <f>ROUND(SUM(H113:H117),5)</f>
        <v>3369</v>
      </c>
      <c r="I118" s="64"/>
      <c r="J118" s="77">
        <f>ROUND(SUM(J113:J117),5)</f>
        <v>1956</v>
      </c>
      <c r="K118" s="64"/>
      <c r="L118" s="78">
        <f>ROUND(IF(J118=0, IF(H118=0, 0, 1), H118/J118),5)</f>
        <v>1.7223900000000001</v>
      </c>
      <c r="M118" s="64"/>
      <c r="N118" s="77">
        <f>ROUND(SUM(N113:N117),5)</f>
        <v>4867</v>
      </c>
      <c r="O118" s="64"/>
      <c r="P118" s="77">
        <f>ROUND(SUM(P113:P117),5)</f>
        <v>3021</v>
      </c>
      <c r="Q118" s="64"/>
      <c r="R118" s="78">
        <f>ROUND(IF(P118=0, IF(N118=0, 0, 1), N118/P118),5)</f>
        <v>1.6110599999999999</v>
      </c>
      <c r="S118" s="64"/>
      <c r="T118" s="77">
        <f>ROUND(SUM(T113:T117),5)</f>
        <v>33150</v>
      </c>
      <c r="V118" s="78">
        <f t="shared" si="24"/>
        <v>0.14682000000000001</v>
      </c>
    </row>
    <row r="119" spans="1:22" ht="15" customHeight="1" x14ac:dyDescent="0.2">
      <c r="A119" s="64"/>
      <c r="B119" s="64"/>
      <c r="C119" s="64"/>
      <c r="D119" s="64"/>
      <c r="E119" s="64" t="s">
        <v>166</v>
      </c>
      <c r="F119" s="64"/>
      <c r="G119" s="64"/>
      <c r="H119" s="77"/>
      <c r="I119" s="64"/>
      <c r="J119" s="77"/>
      <c r="K119" s="64"/>
      <c r="L119" s="78"/>
      <c r="M119" s="64"/>
      <c r="N119" s="77"/>
      <c r="O119" s="64"/>
      <c r="P119" s="77"/>
      <c r="Q119" s="64"/>
      <c r="R119" s="78"/>
      <c r="S119" s="64"/>
      <c r="T119" s="77"/>
      <c r="V119" s="78">
        <f t="shared" si="24"/>
        <v>0</v>
      </c>
    </row>
    <row r="120" spans="1:22" ht="15" customHeight="1" x14ac:dyDescent="0.2">
      <c r="A120" s="64"/>
      <c r="B120" s="64"/>
      <c r="C120" s="64"/>
      <c r="D120" s="64"/>
      <c r="E120" s="64"/>
      <c r="F120" s="64" t="s">
        <v>167</v>
      </c>
      <c r="G120" s="64"/>
      <c r="H120" s="77">
        <v>263</v>
      </c>
      <c r="I120" s="64"/>
      <c r="J120" s="77">
        <v>225</v>
      </c>
      <c r="K120" s="64"/>
      <c r="L120" s="78">
        <f>ROUND(IF(J120=0, IF(H120=0, 0, 1), H120/J120),5)</f>
        <v>1.16889</v>
      </c>
      <c r="M120" s="64"/>
      <c r="N120" s="77">
        <v>672</v>
      </c>
      <c r="O120" s="64"/>
      <c r="P120" s="77">
        <v>428</v>
      </c>
      <c r="Q120" s="64"/>
      <c r="R120" s="78">
        <f>ROUND(IF(P120=0, IF(N120=0, 0, 1), N120/P120),5)</f>
        <v>1.57009</v>
      </c>
      <c r="S120" s="64"/>
      <c r="T120" s="77">
        <v>4000</v>
      </c>
      <c r="V120" s="78">
        <f t="shared" si="24"/>
        <v>0.16800000000000001</v>
      </c>
    </row>
    <row r="121" spans="1:22" ht="15" customHeight="1" x14ac:dyDescent="0.2">
      <c r="A121" s="64"/>
      <c r="B121" s="64"/>
      <c r="C121" s="64"/>
      <c r="D121" s="64"/>
      <c r="E121" s="64"/>
      <c r="F121" s="64" t="s">
        <v>168</v>
      </c>
      <c r="G121" s="64"/>
      <c r="H121" s="77">
        <v>2316</v>
      </c>
      <c r="I121" s="64"/>
      <c r="J121" s="77">
        <v>1942</v>
      </c>
      <c r="K121" s="64"/>
      <c r="L121" s="78">
        <f>ROUND(IF(J121=0, IF(H121=0, 0, 1), H121/J121),5)</f>
        <v>1.19258</v>
      </c>
      <c r="M121" s="64"/>
      <c r="N121" s="77">
        <v>2316</v>
      </c>
      <c r="O121" s="64"/>
      <c r="P121" s="77">
        <v>1942</v>
      </c>
      <c r="Q121" s="64"/>
      <c r="R121" s="78">
        <f>ROUND(IF(P121=0, IF(N121=0, 0, 1), N121/P121),5)</f>
        <v>1.19258</v>
      </c>
      <c r="S121" s="64"/>
      <c r="T121" s="77">
        <v>18920</v>
      </c>
      <c r="V121" s="78">
        <f t="shared" si="24"/>
        <v>0.12241</v>
      </c>
    </row>
    <row r="122" spans="1:22" ht="15" customHeight="1" thickBot="1" x14ac:dyDescent="0.25">
      <c r="A122" s="64"/>
      <c r="B122" s="64"/>
      <c r="C122" s="64"/>
      <c r="D122" s="64"/>
      <c r="E122" s="64"/>
      <c r="F122" s="64" t="s">
        <v>169</v>
      </c>
      <c r="G122" s="64"/>
      <c r="H122" s="80">
        <v>147</v>
      </c>
      <c r="I122" s="64"/>
      <c r="J122" s="80">
        <v>0</v>
      </c>
      <c r="K122" s="64"/>
      <c r="L122" s="81">
        <f>ROUND(IF(J122=0, IF(H122=0, 0, 1), H122/J122),5)</f>
        <v>1</v>
      </c>
      <c r="M122" s="64"/>
      <c r="N122" s="80">
        <v>147</v>
      </c>
      <c r="O122" s="64"/>
      <c r="P122" s="80">
        <v>0</v>
      </c>
      <c r="Q122" s="64"/>
      <c r="R122" s="81">
        <f>ROUND(IF(P122=0, IF(N122=0, 0, 1), N122/P122),5)</f>
        <v>1</v>
      </c>
      <c r="S122" s="64"/>
      <c r="T122" s="80">
        <v>11730</v>
      </c>
      <c r="V122" s="81">
        <f t="shared" si="24"/>
        <v>1.2529999999999999E-2</v>
      </c>
    </row>
    <row r="123" spans="1:22" ht="15" customHeight="1" x14ac:dyDescent="0.2">
      <c r="A123" s="64"/>
      <c r="B123" s="64"/>
      <c r="C123" s="64"/>
      <c r="D123" s="64"/>
      <c r="E123" s="64" t="s">
        <v>170</v>
      </c>
      <c r="F123" s="64"/>
      <c r="G123" s="64"/>
      <c r="H123" s="77">
        <f>ROUND(SUM(H119:H122),5)</f>
        <v>2726</v>
      </c>
      <c r="I123" s="64"/>
      <c r="J123" s="77">
        <f>ROUND(SUM(J119:J122),5)</f>
        <v>2167</v>
      </c>
      <c r="K123" s="64"/>
      <c r="L123" s="78">
        <f>ROUND(IF(J123=0, IF(H123=0, 0, 1), H123/J123),5)</f>
        <v>1.25796</v>
      </c>
      <c r="M123" s="64"/>
      <c r="N123" s="77">
        <f>ROUND(SUM(N119:N122),5)</f>
        <v>3135</v>
      </c>
      <c r="O123" s="64"/>
      <c r="P123" s="77">
        <f>ROUND(SUM(P119:P122),5)</f>
        <v>2370</v>
      </c>
      <c r="Q123" s="64"/>
      <c r="R123" s="78">
        <f>ROUND(IF(P123=0, IF(N123=0, 0, 1), N123/P123),5)</f>
        <v>1.3227800000000001</v>
      </c>
      <c r="S123" s="64"/>
      <c r="T123" s="77">
        <f>ROUND(SUM(T119:T122),5)</f>
        <v>34650</v>
      </c>
      <c r="V123" s="78">
        <f t="shared" si="24"/>
        <v>9.0480000000000005E-2</v>
      </c>
    </row>
    <row r="124" spans="1:22" ht="15" customHeight="1" x14ac:dyDescent="0.2">
      <c r="A124" s="64"/>
      <c r="B124" s="64"/>
      <c r="C124" s="64"/>
      <c r="D124" s="64"/>
      <c r="E124" s="64" t="s">
        <v>171</v>
      </c>
      <c r="F124" s="64"/>
      <c r="G124" s="64"/>
      <c r="H124" s="77"/>
      <c r="I124" s="64"/>
      <c r="J124" s="77"/>
      <c r="K124" s="64"/>
      <c r="L124" s="78"/>
      <c r="M124" s="64"/>
      <c r="N124" s="77"/>
      <c r="O124" s="64"/>
      <c r="P124" s="77"/>
      <c r="Q124" s="64"/>
      <c r="R124" s="78"/>
      <c r="S124" s="64"/>
      <c r="T124" s="77"/>
      <c r="V124" s="78"/>
    </row>
    <row r="125" spans="1:22" ht="15" customHeight="1" x14ac:dyDescent="0.2">
      <c r="A125" s="64"/>
      <c r="B125" s="64"/>
      <c r="C125" s="64"/>
      <c r="D125" s="64"/>
      <c r="E125" s="64"/>
      <c r="F125" s="64" t="s">
        <v>172</v>
      </c>
      <c r="G125" s="64"/>
      <c r="H125" s="77">
        <v>472</v>
      </c>
      <c r="I125" s="64"/>
      <c r="J125" s="77">
        <v>486</v>
      </c>
      <c r="K125" s="64"/>
      <c r="L125" s="78">
        <f t="shared" ref="L125:L132" si="29">ROUND(IF(J125=0, IF(H125=0, 0, 1), H125/J125),5)</f>
        <v>0.97119</v>
      </c>
      <c r="M125" s="64"/>
      <c r="N125" s="77">
        <v>1661</v>
      </c>
      <c r="O125" s="64"/>
      <c r="P125" s="77">
        <v>1911</v>
      </c>
      <c r="Q125" s="64"/>
      <c r="R125" s="78">
        <f t="shared" ref="R125:R132" si="30">ROUND(IF(P125=0, IF(N125=0, 0, 1), N125/P125),5)</f>
        <v>0.86917999999999995</v>
      </c>
      <c r="S125" s="64"/>
      <c r="T125" s="77">
        <v>6180</v>
      </c>
      <c r="V125" s="78">
        <f t="shared" si="24"/>
        <v>0.26877000000000001</v>
      </c>
    </row>
    <row r="126" spans="1:22" ht="15" customHeight="1" x14ac:dyDescent="0.2">
      <c r="A126" s="64"/>
      <c r="B126" s="64"/>
      <c r="C126" s="64"/>
      <c r="D126" s="64"/>
      <c r="E126" s="64"/>
      <c r="F126" s="64" t="s">
        <v>173</v>
      </c>
      <c r="G126" s="64"/>
      <c r="H126" s="77">
        <v>0</v>
      </c>
      <c r="I126" s="64"/>
      <c r="J126" s="77">
        <v>0</v>
      </c>
      <c r="K126" s="64"/>
      <c r="L126" s="78">
        <f t="shared" si="29"/>
        <v>0</v>
      </c>
      <c r="M126" s="64"/>
      <c r="N126" s="77">
        <v>335</v>
      </c>
      <c r="O126" s="64"/>
      <c r="P126" s="77">
        <v>0</v>
      </c>
      <c r="Q126" s="64"/>
      <c r="R126" s="78">
        <f t="shared" si="30"/>
        <v>1</v>
      </c>
      <c r="S126" s="64"/>
      <c r="T126" s="77">
        <v>6000</v>
      </c>
      <c r="V126" s="78">
        <f t="shared" si="24"/>
        <v>5.5829999999999998E-2</v>
      </c>
    </row>
    <row r="127" spans="1:22" ht="15" customHeight="1" x14ac:dyDescent="0.2">
      <c r="A127" s="64"/>
      <c r="B127" s="64"/>
      <c r="C127" s="64"/>
      <c r="D127" s="64"/>
      <c r="E127" s="64"/>
      <c r="F127" s="64" t="s">
        <v>174</v>
      </c>
      <c r="G127" s="64"/>
      <c r="H127" s="77">
        <v>744</v>
      </c>
      <c r="I127" s="64"/>
      <c r="J127" s="77">
        <v>555</v>
      </c>
      <c r="K127" s="64"/>
      <c r="L127" s="78">
        <f t="shared" si="29"/>
        <v>1.3405400000000001</v>
      </c>
      <c r="M127" s="64"/>
      <c r="N127" s="77">
        <v>983</v>
      </c>
      <c r="O127" s="64"/>
      <c r="P127" s="77">
        <v>955</v>
      </c>
      <c r="Q127" s="64"/>
      <c r="R127" s="78">
        <f t="shared" si="30"/>
        <v>1.02932</v>
      </c>
      <c r="S127" s="64"/>
      <c r="T127" s="77">
        <v>5870</v>
      </c>
      <c r="V127" s="78">
        <f t="shared" si="24"/>
        <v>0.16746</v>
      </c>
    </row>
    <row r="128" spans="1:22" ht="15" customHeight="1" x14ac:dyDescent="0.2">
      <c r="A128" s="64"/>
      <c r="B128" s="64"/>
      <c r="C128" s="64"/>
      <c r="D128" s="64"/>
      <c r="E128" s="64"/>
      <c r="F128" s="64" t="s">
        <v>175</v>
      </c>
      <c r="G128" s="64"/>
      <c r="H128" s="77">
        <v>1164</v>
      </c>
      <c r="I128" s="64"/>
      <c r="J128" s="77">
        <v>1625</v>
      </c>
      <c r="K128" s="64"/>
      <c r="L128" s="78">
        <f t="shared" si="29"/>
        <v>0.71631</v>
      </c>
      <c r="M128" s="64"/>
      <c r="N128" s="77">
        <v>1975</v>
      </c>
      <c r="O128" s="64"/>
      <c r="P128" s="77">
        <v>3335</v>
      </c>
      <c r="Q128" s="64"/>
      <c r="R128" s="78">
        <f t="shared" si="30"/>
        <v>0.59219999999999995</v>
      </c>
      <c r="S128" s="64"/>
      <c r="T128" s="77">
        <v>11410</v>
      </c>
      <c r="V128" s="78">
        <f t="shared" si="24"/>
        <v>0.17308999999999999</v>
      </c>
    </row>
    <row r="129" spans="1:22" ht="15" customHeight="1" x14ac:dyDescent="0.2">
      <c r="A129" s="64"/>
      <c r="B129" s="64"/>
      <c r="C129" s="64"/>
      <c r="D129" s="64"/>
      <c r="E129" s="64"/>
      <c r="F129" s="64" t="s">
        <v>176</v>
      </c>
      <c r="G129" s="64"/>
      <c r="H129" s="77">
        <v>869</v>
      </c>
      <c r="I129" s="64"/>
      <c r="J129" s="77">
        <v>873</v>
      </c>
      <c r="K129" s="64"/>
      <c r="L129" s="78">
        <f t="shared" si="29"/>
        <v>0.99541999999999997</v>
      </c>
      <c r="M129" s="64"/>
      <c r="N129" s="77">
        <v>1739</v>
      </c>
      <c r="O129" s="64"/>
      <c r="P129" s="77">
        <v>1744</v>
      </c>
      <c r="Q129" s="64"/>
      <c r="R129" s="78">
        <f t="shared" si="30"/>
        <v>0.99712999999999996</v>
      </c>
      <c r="S129" s="64"/>
      <c r="T129" s="77">
        <v>11440</v>
      </c>
      <c r="V129" s="78">
        <f t="shared" si="24"/>
        <v>0.15201000000000001</v>
      </c>
    </row>
    <row r="130" spans="1:22" ht="15" customHeight="1" x14ac:dyDescent="0.2">
      <c r="A130" s="64"/>
      <c r="B130" s="64"/>
      <c r="C130" s="64"/>
      <c r="D130" s="64"/>
      <c r="E130" s="64"/>
      <c r="F130" s="64" t="s">
        <v>177</v>
      </c>
      <c r="G130" s="64"/>
      <c r="H130" s="77">
        <v>0</v>
      </c>
      <c r="I130" s="64"/>
      <c r="J130" s="77">
        <v>0</v>
      </c>
      <c r="K130" s="64"/>
      <c r="L130" s="78">
        <f t="shared" si="29"/>
        <v>0</v>
      </c>
      <c r="M130" s="64"/>
      <c r="N130" s="77">
        <v>0</v>
      </c>
      <c r="O130" s="64"/>
      <c r="P130" s="77">
        <v>0</v>
      </c>
      <c r="Q130" s="64"/>
      <c r="R130" s="78">
        <f t="shared" si="30"/>
        <v>0</v>
      </c>
      <c r="S130" s="64"/>
      <c r="T130" s="77">
        <v>50</v>
      </c>
      <c r="V130" s="78">
        <f t="shared" si="24"/>
        <v>0</v>
      </c>
    </row>
    <row r="131" spans="1:22" ht="15" customHeight="1" thickBot="1" x14ac:dyDescent="0.25">
      <c r="A131" s="64"/>
      <c r="B131" s="64"/>
      <c r="C131" s="64"/>
      <c r="D131" s="64"/>
      <c r="E131" s="64"/>
      <c r="F131" s="64" t="s">
        <v>178</v>
      </c>
      <c r="G131" s="64"/>
      <c r="H131" s="80">
        <v>0</v>
      </c>
      <c r="I131" s="64"/>
      <c r="J131" s="80">
        <v>0</v>
      </c>
      <c r="K131" s="64"/>
      <c r="L131" s="81">
        <f t="shared" si="29"/>
        <v>0</v>
      </c>
      <c r="M131" s="64"/>
      <c r="N131" s="80">
        <v>0</v>
      </c>
      <c r="O131" s="64"/>
      <c r="P131" s="80">
        <v>0</v>
      </c>
      <c r="Q131" s="64"/>
      <c r="R131" s="81">
        <f t="shared" si="30"/>
        <v>0</v>
      </c>
      <c r="S131" s="64"/>
      <c r="T131" s="80">
        <v>50</v>
      </c>
      <c r="V131" s="81">
        <f t="shared" si="24"/>
        <v>0</v>
      </c>
    </row>
    <row r="132" spans="1:22" ht="15" customHeight="1" x14ac:dyDescent="0.2">
      <c r="A132" s="64"/>
      <c r="B132" s="64"/>
      <c r="C132" s="64"/>
      <c r="D132" s="64"/>
      <c r="E132" s="64" t="s">
        <v>179</v>
      </c>
      <c r="F132" s="64"/>
      <c r="G132" s="64"/>
      <c r="H132" s="77">
        <f>ROUND(SUM(H124:H131),5)</f>
        <v>3249</v>
      </c>
      <c r="I132" s="64"/>
      <c r="J132" s="77">
        <f>ROUND(SUM(J124:J131),5)</f>
        <v>3539</v>
      </c>
      <c r="K132" s="64"/>
      <c r="L132" s="78">
        <f t="shared" si="29"/>
        <v>0.91805999999999999</v>
      </c>
      <c r="M132" s="64"/>
      <c r="N132" s="77">
        <f>ROUND(SUM(N124:N131),5)</f>
        <v>6693</v>
      </c>
      <c r="O132" s="64"/>
      <c r="P132" s="77">
        <f>ROUND(SUM(P124:P131),5)</f>
        <v>7945</v>
      </c>
      <c r="Q132" s="64"/>
      <c r="R132" s="78">
        <f t="shared" si="30"/>
        <v>0.84241999999999995</v>
      </c>
      <c r="S132" s="64"/>
      <c r="T132" s="77">
        <f>ROUND(SUM(T124:T131),5)</f>
        <v>41000</v>
      </c>
      <c r="V132" s="78">
        <f t="shared" si="24"/>
        <v>0.16324</v>
      </c>
    </row>
    <row r="133" spans="1:22" ht="15" customHeight="1" x14ac:dyDescent="0.2">
      <c r="A133" s="64"/>
      <c r="B133" s="64"/>
      <c r="C133" s="64"/>
      <c r="D133" s="64"/>
      <c r="E133" s="64" t="s">
        <v>180</v>
      </c>
      <c r="F133" s="64"/>
      <c r="G133" s="64"/>
      <c r="H133" s="77"/>
      <c r="I133" s="64"/>
      <c r="J133" s="77"/>
      <c r="K133" s="64"/>
      <c r="L133" s="78"/>
      <c r="M133" s="64"/>
      <c r="N133" s="77"/>
      <c r="O133" s="64"/>
      <c r="P133" s="77"/>
      <c r="Q133" s="64"/>
      <c r="R133" s="78"/>
      <c r="S133" s="64"/>
      <c r="T133" s="77"/>
      <c r="V133" s="78">
        <f t="shared" si="24"/>
        <v>0</v>
      </c>
    </row>
    <row r="134" spans="1:22" ht="15" customHeight="1" x14ac:dyDescent="0.2">
      <c r="A134" s="64"/>
      <c r="B134" s="64"/>
      <c r="C134" s="64"/>
      <c r="D134" s="64"/>
      <c r="E134" s="64"/>
      <c r="F134" s="64" t="s">
        <v>181</v>
      </c>
      <c r="G134" s="64"/>
      <c r="H134" s="77">
        <v>1792</v>
      </c>
      <c r="I134" s="64"/>
      <c r="J134" s="77">
        <v>2100</v>
      </c>
      <c r="K134" s="64"/>
      <c r="L134" s="78">
        <f t="shared" ref="L134:L139" si="31">ROUND(IF(J134=0, IF(H134=0, 0, 1), H134/J134),5)</f>
        <v>0.85333000000000003</v>
      </c>
      <c r="M134" s="64"/>
      <c r="N134" s="77">
        <v>4772</v>
      </c>
      <c r="O134" s="64"/>
      <c r="P134" s="77">
        <v>3880</v>
      </c>
      <c r="Q134" s="64"/>
      <c r="R134" s="78">
        <f t="shared" ref="R134:R139" si="32">ROUND(IF(P134=0, IF(N134=0, 0, 1), N134/P134),5)</f>
        <v>1.2299</v>
      </c>
      <c r="S134" s="64"/>
      <c r="T134" s="77">
        <v>18860</v>
      </c>
      <c r="V134" s="78">
        <f t="shared" si="24"/>
        <v>0.25302000000000002</v>
      </c>
    </row>
    <row r="135" spans="1:22" ht="15" customHeight="1" x14ac:dyDescent="0.2">
      <c r="A135" s="64"/>
      <c r="B135" s="64"/>
      <c r="C135" s="64"/>
      <c r="D135" s="64"/>
      <c r="E135" s="64"/>
      <c r="F135" s="64" t="s">
        <v>182</v>
      </c>
      <c r="G135" s="64"/>
      <c r="H135" s="77">
        <v>1115</v>
      </c>
      <c r="I135" s="64"/>
      <c r="J135" s="77">
        <v>1115</v>
      </c>
      <c r="K135" s="64"/>
      <c r="L135" s="78">
        <f t="shared" si="31"/>
        <v>1</v>
      </c>
      <c r="M135" s="64"/>
      <c r="N135" s="77">
        <v>2269</v>
      </c>
      <c r="O135" s="64"/>
      <c r="P135" s="77">
        <v>2269</v>
      </c>
      <c r="Q135" s="64"/>
      <c r="R135" s="78">
        <f t="shared" si="32"/>
        <v>1</v>
      </c>
      <c r="S135" s="64"/>
      <c r="T135" s="77">
        <v>13480</v>
      </c>
      <c r="V135" s="78">
        <f t="shared" si="24"/>
        <v>0.16832</v>
      </c>
    </row>
    <row r="136" spans="1:22" ht="15" customHeight="1" thickBot="1" x14ac:dyDescent="0.25">
      <c r="A136" s="64"/>
      <c r="B136" s="64"/>
      <c r="C136" s="64"/>
      <c r="D136" s="64"/>
      <c r="E136" s="64"/>
      <c r="F136" s="64" t="s">
        <v>183</v>
      </c>
      <c r="G136" s="64"/>
      <c r="H136" s="82">
        <v>0</v>
      </c>
      <c r="I136" s="64"/>
      <c r="J136" s="82">
        <v>0</v>
      </c>
      <c r="K136" s="64"/>
      <c r="L136" s="83">
        <f t="shared" si="31"/>
        <v>0</v>
      </c>
      <c r="M136" s="64"/>
      <c r="N136" s="82">
        <v>0</v>
      </c>
      <c r="O136" s="64"/>
      <c r="P136" s="82">
        <v>0</v>
      </c>
      <c r="Q136" s="64"/>
      <c r="R136" s="83">
        <f t="shared" si="32"/>
        <v>0</v>
      </c>
      <c r="S136" s="64"/>
      <c r="T136" s="82">
        <v>30</v>
      </c>
      <c r="V136" s="83">
        <f t="shared" si="24"/>
        <v>0</v>
      </c>
    </row>
    <row r="137" spans="1:22" ht="15" customHeight="1" thickBot="1" x14ac:dyDescent="0.25">
      <c r="A137" s="64"/>
      <c r="B137" s="64"/>
      <c r="C137" s="64"/>
      <c r="D137" s="64"/>
      <c r="E137" s="64" t="s">
        <v>184</v>
      </c>
      <c r="F137" s="64"/>
      <c r="G137" s="64"/>
      <c r="H137" s="86">
        <f>ROUND(SUM(H133:H136),5)</f>
        <v>2907</v>
      </c>
      <c r="I137" s="64"/>
      <c r="J137" s="86">
        <f>ROUND(SUM(J133:J136),5)</f>
        <v>3215</v>
      </c>
      <c r="K137" s="64"/>
      <c r="L137" s="87">
        <f t="shared" si="31"/>
        <v>0.9042</v>
      </c>
      <c r="M137" s="64"/>
      <c r="N137" s="86">
        <f>ROUND(SUM(N133:N136),5)</f>
        <v>7041</v>
      </c>
      <c r="O137" s="64"/>
      <c r="P137" s="86">
        <f>ROUND(SUM(P133:P136),5)</f>
        <v>6149</v>
      </c>
      <c r="Q137" s="64"/>
      <c r="R137" s="87">
        <f t="shared" si="32"/>
        <v>1.14506</v>
      </c>
      <c r="S137" s="64"/>
      <c r="T137" s="86">
        <f>ROUND(SUM(T133:T136),5)</f>
        <v>32370</v>
      </c>
      <c r="V137" s="87">
        <f t="shared" si="24"/>
        <v>0.21751999999999999</v>
      </c>
    </row>
    <row r="138" spans="1:22" ht="15" customHeight="1" thickBot="1" x14ac:dyDescent="0.25">
      <c r="A138" s="64"/>
      <c r="B138" s="64"/>
      <c r="C138" s="64"/>
      <c r="D138" s="64" t="s">
        <v>185</v>
      </c>
      <c r="E138" s="64"/>
      <c r="F138" s="64"/>
      <c r="G138" s="64"/>
      <c r="H138" s="84">
        <f>ROUND(H76+H84+H93+H101+H112+H118+H123+H132+H137,5)</f>
        <v>87216</v>
      </c>
      <c r="I138" s="64"/>
      <c r="J138" s="84">
        <f>ROUND(J76+J84+J93+J101+J112+J118+J123+J132+J137,5)</f>
        <v>90263</v>
      </c>
      <c r="K138" s="64"/>
      <c r="L138" s="85">
        <f t="shared" si="31"/>
        <v>0.96623999999999999</v>
      </c>
      <c r="M138" s="64"/>
      <c r="N138" s="84">
        <f>ROUND(N76+N84+N93+N101+N112+N118+N123+N132+N137,5)</f>
        <v>168206</v>
      </c>
      <c r="O138" s="64"/>
      <c r="P138" s="84">
        <f>ROUND(P76+P84+P93+P101+P112+P118+P123+P132+P137,5)</f>
        <v>172026</v>
      </c>
      <c r="Q138" s="64"/>
      <c r="R138" s="85">
        <f t="shared" si="32"/>
        <v>0.97779000000000005</v>
      </c>
      <c r="S138" s="64"/>
      <c r="T138" s="84">
        <f>ROUND(T76+T84+T93+T101+T112+T118+T123+T132+T137,5)</f>
        <v>1223750</v>
      </c>
      <c r="V138" s="85">
        <f t="shared" si="24"/>
        <v>0.13744999999999999</v>
      </c>
    </row>
    <row r="139" spans="1:22" ht="15" customHeight="1" x14ac:dyDescent="0.2">
      <c r="A139" s="64"/>
      <c r="B139" s="64" t="s">
        <v>186</v>
      </c>
      <c r="C139" s="64"/>
      <c r="D139" s="64"/>
      <c r="E139" s="64"/>
      <c r="F139" s="64"/>
      <c r="G139" s="64"/>
      <c r="H139" s="77">
        <f>ROUND(H3+H75-H138,5)</f>
        <v>359617</v>
      </c>
      <c r="I139" s="64"/>
      <c r="J139" s="77">
        <f>ROUND(J3+J75-J138,5)</f>
        <v>126065</v>
      </c>
      <c r="K139" s="64"/>
      <c r="L139" s="78">
        <f t="shared" si="31"/>
        <v>2.85263</v>
      </c>
      <c r="M139" s="64"/>
      <c r="N139" s="77">
        <f>ROUND(N3+N75-N138,5)</f>
        <v>389935</v>
      </c>
      <c r="O139" s="64"/>
      <c r="P139" s="77">
        <f>ROUND(P3+P75-P138,5)</f>
        <v>176029</v>
      </c>
      <c r="Q139" s="64"/>
      <c r="R139" s="78">
        <f t="shared" si="32"/>
        <v>2.2151700000000001</v>
      </c>
      <c r="S139" s="64"/>
      <c r="T139" s="77">
        <f>ROUND(T3+T75-T138,5)</f>
        <v>-69670</v>
      </c>
      <c r="V139" s="78">
        <f t="shared" si="24"/>
        <v>-5.5968900000000001</v>
      </c>
    </row>
    <row r="140" spans="1:22" ht="15" customHeight="1" x14ac:dyDescent="0.2">
      <c r="A140" s="64"/>
      <c r="B140" s="64" t="s">
        <v>187</v>
      </c>
      <c r="C140" s="64"/>
      <c r="D140" s="64"/>
      <c r="E140" s="64"/>
      <c r="F140" s="64"/>
      <c r="G140" s="64"/>
      <c r="H140" s="77"/>
      <c r="I140" s="64"/>
      <c r="J140" s="77"/>
      <c r="K140" s="64"/>
      <c r="L140" s="78"/>
      <c r="M140" s="64"/>
      <c r="N140" s="77"/>
      <c r="O140" s="64"/>
      <c r="P140" s="77"/>
      <c r="Q140" s="64"/>
      <c r="R140" s="78"/>
      <c r="S140" s="64"/>
      <c r="T140" s="77"/>
      <c r="V140" s="78"/>
    </row>
    <row r="141" spans="1:22" ht="15" customHeight="1" x14ac:dyDescent="0.2">
      <c r="A141" s="64"/>
      <c r="B141" s="64"/>
      <c r="C141" s="64" t="s">
        <v>188</v>
      </c>
      <c r="D141" s="64"/>
      <c r="E141" s="64"/>
      <c r="F141" s="64"/>
      <c r="G141" s="64"/>
      <c r="H141" s="77"/>
      <c r="I141" s="64"/>
      <c r="J141" s="77"/>
      <c r="K141" s="64"/>
      <c r="L141" s="78"/>
      <c r="M141" s="64"/>
      <c r="N141" s="77"/>
      <c r="O141" s="64"/>
      <c r="P141" s="77"/>
      <c r="Q141" s="64"/>
      <c r="R141" s="78"/>
      <c r="S141" s="64"/>
      <c r="T141" s="77"/>
      <c r="V141" s="78"/>
    </row>
    <row r="142" spans="1:22" ht="15" customHeight="1" x14ac:dyDescent="0.2">
      <c r="A142" s="64"/>
      <c r="B142" s="64"/>
      <c r="C142" s="64"/>
      <c r="D142" s="64" t="s">
        <v>189</v>
      </c>
      <c r="E142" s="64"/>
      <c r="F142" s="64"/>
      <c r="G142" s="64"/>
      <c r="H142" s="77"/>
      <c r="I142" s="64"/>
      <c r="J142" s="77"/>
      <c r="K142" s="64"/>
      <c r="L142" s="78"/>
      <c r="M142" s="64"/>
      <c r="N142" s="77"/>
      <c r="O142" s="64"/>
      <c r="P142" s="77"/>
      <c r="Q142" s="64"/>
      <c r="R142" s="78"/>
      <c r="S142" s="64"/>
      <c r="T142" s="77"/>
      <c r="V142" s="78"/>
    </row>
    <row r="143" spans="1:22" ht="15" customHeight="1" thickBot="1" x14ac:dyDescent="0.25">
      <c r="A143" s="64"/>
      <c r="B143" s="64"/>
      <c r="C143" s="64"/>
      <c r="D143" s="64"/>
      <c r="E143" s="64" t="s">
        <v>190</v>
      </c>
      <c r="F143" s="64"/>
      <c r="G143" s="64"/>
      <c r="H143" s="80">
        <v>0</v>
      </c>
      <c r="I143" s="64"/>
      <c r="J143" s="80">
        <v>0</v>
      </c>
      <c r="K143" s="64"/>
      <c r="L143" s="81">
        <f t="shared" ref="L143:L149" si="33">ROUND(IF(J143=0, IF(H143=0, 0, 1), H143/J143),5)</f>
        <v>0</v>
      </c>
      <c r="M143" s="64"/>
      <c r="N143" s="80">
        <v>0</v>
      </c>
      <c r="O143" s="64"/>
      <c r="P143" s="80">
        <v>0</v>
      </c>
      <c r="Q143" s="64"/>
      <c r="R143" s="81">
        <f t="shared" ref="R143:R149" si="34">ROUND(IF(P143=0, IF(N143=0, 0, 1), N143/P143),5)</f>
        <v>0</v>
      </c>
      <c r="S143" s="64"/>
      <c r="T143" s="80">
        <v>70000</v>
      </c>
      <c r="V143" s="81">
        <f t="shared" si="24"/>
        <v>0</v>
      </c>
    </row>
    <row r="144" spans="1:22" ht="15" customHeight="1" x14ac:dyDescent="0.2">
      <c r="A144" s="64"/>
      <c r="B144" s="64"/>
      <c r="C144" s="64"/>
      <c r="D144" s="64" t="s">
        <v>191</v>
      </c>
      <c r="E144" s="64"/>
      <c r="F144" s="64"/>
      <c r="G144" s="64"/>
      <c r="H144" s="77">
        <f>ROUND(SUM(H142:H143),5)</f>
        <v>0</v>
      </c>
      <c r="I144" s="64"/>
      <c r="J144" s="77">
        <f>ROUND(SUM(J142:J143),5)</f>
        <v>0</v>
      </c>
      <c r="K144" s="64"/>
      <c r="L144" s="78">
        <f t="shared" si="33"/>
        <v>0</v>
      </c>
      <c r="M144" s="64"/>
      <c r="N144" s="77">
        <f>ROUND(SUM(N142:N143),5)</f>
        <v>0</v>
      </c>
      <c r="O144" s="64"/>
      <c r="P144" s="77">
        <f>ROUND(SUM(P142:P143),5)</f>
        <v>0</v>
      </c>
      <c r="Q144" s="64"/>
      <c r="R144" s="78">
        <f t="shared" si="34"/>
        <v>0</v>
      </c>
      <c r="S144" s="64"/>
      <c r="T144" s="77">
        <f>ROUND(SUM(T142:T143),5)</f>
        <v>70000</v>
      </c>
      <c r="V144" s="78">
        <f t="shared" si="24"/>
        <v>0</v>
      </c>
    </row>
    <row r="145" spans="1:23" ht="15" customHeight="1" x14ac:dyDescent="0.2">
      <c r="A145" s="64"/>
      <c r="B145" s="64"/>
      <c r="C145" s="64"/>
      <c r="D145" s="64" t="s">
        <v>192</v>
      </c>
      <c r="E145" s="64"/>
      <c r="F145" s="64"/>
      <c r="G145" s="64"/>
      <c r="H145" s="77">
        <v>7</v>
      </c>
      <c r="I145" s="64"/>
      <c r="J145" s="77">
        <v>0</v>
      </c>
      <c r="K145" s="64"/>
      <c r="L145" s="78">
        <f t="shared" si="33"/>
        <v>1</v>
      </c>
      <c r="M145" s="64"/>
      <c r="N145" s="77">
        <v>13</v>
      </c>
      <c r="O145" s="64"/>
      <c r="P145" s="77">
        <v>0</v>
      </c>
      <c r="Q145" s="64"/>
      <c r="R145" s="78">
        <f t="shared" si="34"/>
        <v>1</v>
      </c>
      <c r="S145" s="64"/>
      <c r="T145" s="77">
        <v>0</v>
      </c>
      <c r="V145" s="78">
        <f t="shared" si="24"/>
        <v>1</v>
      </c>
    </row>
    <row r="146" spans="1:23" ht="15" customHeight="1" thickBot="1" x14ac:dyDescent="0.25">
      <c r="A146" s="64"/>
      <c r="B146" s="64"/>
      <c r="C146" s="64"/>
      <c r="D146" s="64" t="s">
        <v>193</v>
      </c>
      <c r="E146" s="64"/>
      <c r="F146" s="64"/>
      <c r="G146" s="64"/>
      <c r="H146" s="82">
        <v>-292</v>
      </c>
      <c r="I146" s="64"/>
      <c r="J146" s="82">
        <v>0</v>
      </c>
      <c r="K146" s="64"/>
      <c r="L146" s="83">
        <f t="shared" si="33"/>
        <v>1</v>
      </c>
      <c r="M146" s="64"/>
      <c r="N146" s="82">
        <v>-161</v>
      </c>
      <c r="O146" s="64"/>
      <c r="P146" s="82">
        <v>0</v>
      </c>
      <c r="Q146" s="64"/>
      <c r="R146" s="83">
        <f t="shared" si="34"/>
        <v>1</v>
      </c>
      <c r="S146" s="64"/>
      <c r="T146" s="82">
        <v>0</v>
      </c>
      <c r="V146" s="83">
        <f t="shared" si="24"/>
        <v>1</v>
      </c>
    </row>
    <row r="147" spans="1:23" ht="15" customHeight="1" thickBot="1" x14ac:dyDescent="0.25">
      <c r="A147" s="64"/>
      <c r="B147" s="64"/>
      <c r="C147" s="64" t="s">
        <v>194</v>
      </c>
      <c r="D147" s="64"/>
      <c r="E147" s="64"/>
      <c r="F147" s="64"/>
      <c r="G147" s="64"/>
      <c r="H147" s="86">
        <f>ROUND(H141+SUM(H144:H146),5)</f>
        <v>-285</v>
      </c>
      <c r="I147" s="64"/>
      <c r="J147" s="86">
        <f>ROUND(J141+SUM(J144:J146),5)</f>
        <v>0</v>
      </c>
      <c r="K147" s="64"/>
      <c r="L147" s="87">
        <f t="shared" si="33"/>
        <v>1</v>
      </c>
      <c r="M147" s="64"/>
      <c r="N147" s="86">
        <f>ROUND(N141+SUM(N144:N146),5)</f>
        <v>-148</v>
      </c>
      <c r="O147" s="64"/>
      <c r="P147" s="86">
        <f>ROUND(P141+SUM(P144:P146),5)</f>
        <v>0</v>
      </c>
      <c r="Q147" s="64"/>
      <c r="R147" s="87">
        <f t="shared" si="34"/>
        <v>1</v>
      </c>
      <c r="S147" s="64"/>
      <c r="T147" s="86">
        <f>ROUND(T141+SUM(T144:T146),5)</f>
        <v>70000</v>
      </c>
      <c r="V147" s="87">
        <f t="shared" si="24"/>
        <v>-2.1099999999999999E-3</v>
      </c>
    </row>
    <row r="148" spans="1:23" ht="15" customHeight="1" thickBot="1" x14ac:dyDescent="0.25">
      <c r="A148" s="64"/>
      <c r="B148" s="64" t="s">
        <v>195</v>
      </c>
      <c r="C148" s="64"/>
      <c r="D148" s="64"/>
      <c r="E148" s="64"/>
      <c r="F148" s="64"/>
      <c r="G148" s="64"/>
      <c r="H148" s="86">
        <f>ROUND(H140+H147,5)</f>
        <v>-285</v>
      </c>
      <c r="I148" s="64"/>
      <c r="J148" s="86">
        <f>ROUND(J140+J147,5)</f>
        <v>0</v>
      </c>
      <c r="K148" s="64"/>
      <c r="L148" s="87">
        <f t="shared" si="33"/>
        <v>1</v>
      </c>
      <c r="M148" s="64"/>
      <c r="N148" s="86">
        <f>ROUND(N140+N147,5)</f>
        <v>-148</v>
      </c>
      <c r="O148" s="64"/>
      <c r="P148" s="86">
        <f>ROUND(P140+P147,5)</f>
        <v>0</v>
      </c>
      <c r="Q148" s="64"/>
      <c r="R148" s="87">
        <f t="shared" si="34"/>
        <v>1</v>
      </c>
      <c r="S148" s="64"/>
      <c r="T148" s="86">
        <f>ROUND(T140+T147,5)</f>
        <v>70000</v>
      </c>
      <c r="V148" s="87">
        <f t="shared" si="24"/>
        <v>-2.1099999999999999E-3</v>
      </c>
    </row>
    <row r="149" spans="1:23" s="90" customFormat="1" ht="15" customHeight="1" thickBot="1" x14ac:dyDescent="0.2">
      <c r="A149" s="64" t="s">
        <v>196</v>
      </c>
      <c r="B149" s="64"/>
      <c r="C149" s="64"/>
      <c r="D149" s="64"/>
      <c r="E149" s="64"/>
      <c r="F149" s="64"/>
      <c r="G149" s="64"/>
      <c r="H149" s="88">
        <f>ROUND(H139+H148,5)</f>
        <v>359332</v>
      </c>
      <c r="I149" s="64"/>
      <c r="J149" s="88">
        <f>ROUND(J139+J148,5)</f>
        <v>126065</v>
      </c>
      <c r="K149" s="64"/>
      <c r="L149" s="89">
        <f t="shared" si="33"/>
        <v>2.8503699999999998</v>
      </c>
      <c r="M149" s="64"/>
      <c r="N149" s="88">
        <f>ROUND(N139+N148,5)</f>
        <v>389787</v>
      </c>
      <c r="O149" s="64"/>
      <c r="P149" s="88">
        <f>ROUND(P139+P148,5)</f>
        <v>176029</v>
      </c>
      <c r="Q149" s="64"/>
      <c r="R149" s="89">
        <f t="shared" si="34"/>
        <v>2.2143299999999999</v>
      </c>
      <c r="S149" s="64"/>
      <c r="T149" s="88">
        <f>ROUND(T139+T148,5)</f>
        <v>330</v>
      </c>
      <c r="V149" s="87"/>
    </row>
    <row r="150" spans="1:23" ht="15" customHeight="1" thickTop="1" x14ac:dyDescent="0.2">
      <c r="V150" s="92"/>
    </row>
    <row r="151" spans="1:23" ht="15" customHeight="1" x14ac:dyDescent="0.2">
      <c r="V151" s="92"/>
    </row>
    <row r="152" spans="1:23" ht="15" customHeight="1" x14ac:dyDescent="0.2">
      <c r="A152" s="65" t="s">
        <v>204</v>
      </c>
      <c r="B152" s="60"/>
      <c r="C152" s="60"/>
      <c r="D152" s="60"/>
      <c r="E152" s="60"/>
      <c r="V152" s="92"/>
    </row>
    <row r="153" spans="1:23" ht="15" customHeight="1" x14ac:dyDescent="0.2">
      <c r="A153" s="61" t="s">
        <v>203</v>
      </c>
      <c r="B153" s="60"/>
      <c r="C153" s="60"/>
      <c r="D153" s="60"/>
      <c r="E153" s="60"/>
      <c r="H153" s="77">
        <f>H10</f>
        <v>270000</v>
      </c>
      <c r="I153" s="77"/>
      <c r="J153" s="77">
        <f>J10</f>
        <v>0</v>
      </c>
      <c r="K153" s="77"/>
      <c r="L153" s="77"/>
      <c r="M153" s="77"/>
      <c r="N153" s="77">
        <f>N10</f>
        <v>270000</v>
      </c>
      <c r="O153" s="77"/>
      <c r="P153" s="77">
        <f>P10</f>
        <v>0</v>
      </c>
      <c r="Q153" s="77"/>
      <c r="R153" s="77"/>
      <c r="S153" s="77"/>
      <c r="T153" s="77"/>
      <c r="U153" s="77"/>
      <c r="V153" s="77"/>
      <c r="W153" s="77"/>
    </row>
    <row r="154" spans="1:23" ht="15" customHeight="1" thickBot="1" x14ac:dyDescent="0.25">
      <c r="H154" s="94">
        <f>+H149-H153</f>
        <v>89332</v>
      </c>
      <c r="I154" s="77"/>
      <c r="J154" s="94">
        <f>+J149-J153</f>
        <v>126065</v>
      </c>
      <c r="K154" s="77"/>
      <c r="L154" s="77"/>
      <c r="M154" s="77"/>
      <c r="N154" s="94">
        <f>+N149-N153</f>
        <v>119787</v>
      </c>
      <c r="O154" s="77"/>
      <c r="P154" s="94">
        <f>+P149-P153</f>
        <v>176029</v>
      </c>
      <c r="Q154" s="77"/>
      <c r="R154" s="77"/>
      <c r="S154" s="77"/>
      <c r="T154" s="77"/>
      <c r="U154" s="77"/>
      <c r="V154" s="77"/>
      <c r="W154" s="77"/>
    </row>
    <row r="155" spans="1:23" ht="16" thickTop="1" x14ac:dyDescent="0.2"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</row>
    <row r="156" spans="1:23" x14ac:dyDescent="0.2"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</row>
    <row r="157" spans="1:23" x14ac:dyDescent="0.2"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</row>
    <row r="158" spans="1:23" x14ac:dyDescent="0.2">
      <c r="V158" s="92"/>
    </row>
    <row r="159" spans="1:23" x14ac:dyDescent="0.2">
      <c r="V159" s="92"/>
    </row>
    <row r="160" spans="1:23" x14ac:dyDescent="0.2">
      <c r="V160" s="92"/>
    </row>
    <row r="161" spans="22:22" x14ac:dyDescent="0.2">
      <c r="V161" s="92"/>
    </row>
    <row r="162" spans="22:22" x14ac:dyDescent="0.2">
      <c r="V162" s="92"/>
    </row>
  </sheetData>
  <pageMargins left="0.45" right="0.2" top="0.79166666699999999" bottom="0.5" header="0.1" footer="0.3"/>
  <pageSetup scale="85" fitToHeight="12" orientation="landscape" r:id="rId1"/>
  <headerFooter>
    <oddHeader>&amp;L&amp;"Arial,Bold"&amp;8 10:31 AM
&amp;"Helvetica,Regular"&amp;10 06/05/19
&amp;"Arial,Bold"&amp;8 Accrual Basis&amp;C&amp;"Helvetica,Regular"&amp;14 Textile Center of Minnesota
&amp;"Helvetica,Regular"&amp;18 Operating Statement of Activities - Detail
&amp;"Helvetica,Regular"&amp;12 May 2019</oddHeader>
    <oddFooter>&amp;R&amp;"Helvetica,Regular"&amp;10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Recap</vt:lpstr>
      <vt:lpstr>Balance Sheet</vt:lpstr>
      <vt:lpstr>Operating Summary</vt:lpstr>
      <vt:lpstr>Operating Stmt of Activities</vt:lpstr>
      <vt:lpstr>'Balance Sheet'!Print_Titles</vt:lpstr>
      <vt:lpstr>'Operating Stmt of Activities'!Print_Titles</vt:lpstr>
      <vt:lpstr>'Operating Summary'!Print_Titles</vt:lpstr>
    </vt:vector>
  </TitlesOfParts>
  <Company>TechGuru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Microsoft Office User</cp:lastModifiedBy>
  <cp:lastPrinted>2019-06-13T21:13:27Z</cp:lastPrinted>
  <dcterms:created xsi:type="dcterms:W3CDTF">2019-05-30T18:51:31Z</dcterms:created>
  <dcterms:modified xsi:type="dcterms:W3CDTF">2019-06-14T19:22:01Z</dcterms:modified>
</cp:coreProperties>
</file>