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KDR 2018/Dropbox (TextileCenter)/Textile Share/documents/Board Items/Monthly Meeting Materials/FY20/04 - July/"/>
    </mc:Choice>
  </mc:AlternateContent>
  <xr:revisionPtr revIDLastSave="0" documentId="8_{4FC76406-87C5-5643-9489-31D7423804D2}" xr6:coauthVersionLast="43" xr6:coauthVersionMax="43" xr10:uidLastSave="{00000000-0000-0000-0000-000000000000}"/>
  <bookViews>
    <workbookView xWindow="0" yWindow="460" windowWidth="28800" windowHeight="12140" xr2:uid="{00000000-000D-0000-FFFF-FFFF00000000}"/>
  </bookViews>
  <sheets>
    <sheet name="Recap" sheetId="1" r:id="rId1"/>
    <sheet name="Balance Sheet" sheetId="4" r:id="rId2"/>
    <sheet name="Operating Summary" sheetId="3" r:id="rId3"/>
    <sheet name="Operating Stmt of Activities" sheetId="2" r:id="rId4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REPT([0]!LOCAL_YEAR_FORMAT,4)&amp;Recap!LOCAL_DATE_SEPARATOR&amp;REPT(Recap!LOCAL_MONTH_FORMAT,2)&amp;Recap!LOCAL_DATE_SEPARATOR&amp;REPT(Recap!LOCAL_DAY_FORMAT,2)&amp;" "&amp;REPT(Recap!LOCAL_HOUR_FORMAT,2)&amp;[0]!LOCAL_TIME_SEPARATOR&amp;REPT(Recap!LOCAL_MINUTE_FORMAT,2)&amp;[0]!LOCAL_TIME_SEPARATOR&amp;REPT([0]!LOCAL_SECOND_FORMAT,2)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Sheet'!$A:$F,'Balance Sheet'!$1:$1</definedName>
    <definedName name="_xlnm.Print_Titles" localSheetId="3">'Operating Stmt of Activities'!$A:$G,'Operating Stmt of Activities'!$1:$2</definedName>
    <definedName name="_xlnm.Print_Titles" localSheetId="2">'Operating Summary'!$A:$E,'Operating Summary'!$1:$2</definedName>
    <definedName name="QB_COLUMN_29" localSheetId="1" hidden="1">'Balance Sheet'!$G$1</definedName>
    <definedName name="QB_COLUMN_59200" localSheetId="3" hidden="1">'Operating Stmt of Activities'!$H$2</definedName>
    <definedName name="QB_COLUMN_59200" localSheetId="2" hidden="1">'Operating Summary'!$F$2</definedName>
    <definedName name="QB_COLUMN_62230" localSheetId="3" hidden="1">'Operating Stmt of Activities'!$N$2</definedName>
    <definedName name="QB_COLUMN_62230" localSheetId="2" hidden="1">'Operating Summary'!$L$2</definedName>
    <definedName name="QB_COLUMN_64420" localSheetId="3" hidden="1">'Operating Stmt of Activities'!$L$2</definedName>
    <definedName name="QB_COLUMN_64420" localSheetId="2" hidden="1">'Operating Summary'!$J$2</definedName>
    <definedName name="QB_COLUMN_64450" localSheetId="3" hidden="1">'Operating Stmt of Activities'!$R$2</definedName>
    <definedName name="QB_COLUMN_64450" localSheetId="2" hidden="1">'Operating Summary'!$P$2</definedName>
    <definedName name="QB_COLUMN_76210" localSheetId="3" hidden="1">'Operating Stmt of Activities'!$J$2</definedName>
    <definedName name="QB_COLUMN_76210" localSheetId="2" hidden="1">'Operating Summary'!$H$2</definedName>
    <definedName name="QB_COLUMN_76240" localSheetId="3" hidden="1">'Operating Stmt of Activities'!$P$2</definedName>
    <definedName name="QB_COLUMN_76240" localSheetId="2" hidden="1">'Operating Summary'!$N$2</definedName>
    <definedName name="QB_COLUMN_76260" localSheetId="3" hidden="1">'Operating Stmt of Activities'!$T$2</definedName>
    <definedName name="QB_COLUMN_76260" localSheetId="2" hidden="1">'Operating Summary'!$R$2</definedName>
    <definedName name="QB_DATA_0" localSheetId="1" hidden="1">'Balance Sheet'!$5:$5,'Balance Sheet'!$6:$6,'Balance Sheet'!$9:$9,'Balance Sheet'!$10:$10,'Balance Sheet'!$15:$15,'Balance Sheet'!$16:$16,'Balance Sheet'!$17:$17,'Balance Sheet'!$18:$18,'Balance Sheet'!$19:$19,'Balance Sheet'!$20:$20,'Balance Sheet'!$21:$21,'Balance Sheet'!$26:$26,'Balance Sheet'!$27:$27,'Balance Sheet'!$28:$28,'Balance Sheet'!$29:$29,'Balance Sheet'!$33:$33</definedName>
    <definedName name="QB_DATA_0" localSheetId="3" hidden="1">'Operating Stmt of Activities'!$6:$6,'Operating Stmt of Activities'!$7:$7,'Operating Stmt of Activities'!$8:$8,'Operating Stmt of Activities'!$9:$9,'Operating Stmt of Activities'!$10:$10,'Operating Stmt of Activities'!$13:$13,'Operating Stmt of Activities'!$14:$14,'Operating Stmt of Activities'!$15:$15,'Operating Stmt of Activities'!$16:$16,'Operating Stmt of Activities'!$17:$17,'Operating Stmt of Activities'!$20:$20,'Operating Stmt of Activities'!$21:$21,'Operating Stmt of Activities'!$22:$22,'Operating Stmt of Activities'!$25:$25,'Operating Stmt of Activities'!$26:$26,'Operating Stmt of Activities'!$27:$27</definedName>
    <definedName name="QB_DATA_0" localSheetId="2" hidden="1">'Operating Summary'!$5:$5,'Operating Summary'!$7:$7,'Operating Summary'!$8:$8,'Operating Summary'!$9:$9,'Operating Summary'!$10:$10,'Operating Summary'!$11:$11,'Operating Summary'!$12:$12,'Operating Summary'!$13:$13,'Operating Summary'!$17:$17,'Operating Summary'!$18:$18,'Operating Summary'!$19:$19,'Operating Summary'!$20:$20,'Operating Summary'!$21:$21,'Operating Summary'!$22:$22,'Operating Summary'!$28:$28,'Operating Summary'!$29:$29</definedName>
    <definedName name="QB_DATA_1" localSheetId="1" hidden="1">'Balance Sheet'!$34:$34,'Balance Sheet'!$35:$35,'Balance Sheet'!$38:$38,'Balance Sheet'!$39:$39,'Balance Sheet'!$42:$42,'Balance Sheet'!$43:$43,'Balance Sheet'!$45:$45,'Balance Sheet'!$49:$49,'Balance Sheet'!$50:$50,'Balance Sheet'!$51:$51,'Balance Sheet'!$52:$52,'Balance Sheet'!$53:$53,'Balance Sheet'!$54:$54,'Balance Sheet'!$55:$55,'Balance Sheet'!$62:$62,'Balance Sheet'!$65:$65</definedName>
    <definedName name="QB_DATA_1" localSheetId="3" hidden="1">'Operating Stmt of Activities'!$28:$28,'Operating Stmt of Activities'!$29:$29,'Operating Stmt of Activities'!$33:$33,'Operating Stmt of Activities'!$34:$34,'Operating Stmt of Activities'!$35:$35,'Operating Stmt of Activities'!$36:$36,'Operating Stmt of Activities'!$39:$39,'Operating Stmt of Activities'!$40:$40,'Operating Stmt of Activities'!$41:$41,'Operating Stmt of Activities'!$42:$42,'Operating Stmt of Activities'!$47:$47,'Operating Stmt of Activities'!$48:$48,'Operating Stmt of Activities'!$49:$49,'Operating Stmt of Activities'!$50:$50,'Operating Stmt of Activities'!$51:$51,'Operating Stmt of Activities'!$54:$54</definedName>
    <definedName name="QB_DATA_1" localSheetId="2" hidden="1">'Operating Summary'!$30:$30,'Operating Summary'!$31:$31,'Operating Summary'!$32:$32,'Operating Summary'!$33:$33,'Operating Summary'!$34:$34,'Operating Summary'!$35:$35,'Operating Summary'!$41:$41,'Operating Summary'!$42:$42,'Operating Summary'!$43:$43,'Operating Summary'!$44:$44</definedName>
    <definedName name="QB_DATA_2" localSheetId="1" hidden="1">'Balance Sheet'!$66:$66,'Balance Sheet'!$67:$67,'Balance Sheet'!$71:$71,'Balance Sheet'!$73:$73,'Balance Sheet'!$74:$74,'Balance Sheet'!$75:$75,'Balance Sheet'!$76:$76,'Balance Sheet'!$77:$77,'Balance Sheet'!$78:$78,'Balance Sheet'!$79:$79,'Balance Sheet'!$83:$83,'Balance Sheet'!$87:$87,'Balance Sheet'!$88:$88,'Balance Sheet'!$89:$89,'Balance Sheet'!$90:$90,'Balance Sheet'!$91:$91</definedName>
    <definedName name="QB_DATA_2" localSheetId="3" hidden="1">'Operating Stmt of Activities'!$55:$55,'Operating Stmt of Activities'!$58:$58,'Operating Stmt of Activities'!$60:$60,'Operating Stmt of Activities'!$61:$61,'Operating Stmt of Activities'!$62:$62,'Operating Stmt of Activities'!$63:$63,'Operating Stmt of Activities'!$67:$67,'Operating Stmt of Activities'!$68:$68,'Operating Stmt of Activities'!$69:$69,'Operating Stmt of Activities'!$70:$70,'Operating Stmt of Activities'!$71:$71,'Operating Stmt of Activities'!$72:$72,'Operating Stmt of Activities'!$77:$77,'Operating Stmt of Activities'!$78:$78,'Operating Stmt of Activities'!$79:$79,'Operating Stmt of Activities'!$80:$80</definedName>
    <definedName name="QB_DATA_3" localSheetId="1" hidden="1">'Balance Sheet'!$92:$92,'Balance Sheet'!$93:$93</definedName>
    <definedName name="QB_DATA_3" localSheetId="3" hidden="1">'Operating Stmt of Activities'!$81:$81,'Operating Stmt of Activities'!$82:$82,'Operating Stmt of Activities'!$85:$85,'Operating Stmt of Activities'!$86:$86,'Operating Stmt of Activities'!$87:$87,'Operating Stmt of Activities'!$88:$88,'Operating Stmt of Activities'!$89:$89,'Operating Stmt of Activities'!$90:$90,'Operating Stmt of Activities'!$91:$91,'Operating Stmt of Activities'!$94:$94,'Operating Stmt of Activities'!$95:$95,'Operating Stmt of Activities'!$96:$96,'Operating Stmt of Activities'!$97:$97,'Operating Stmt of Activities'!$98:$98,'Operating Stmt of Activities'!$99:$99,'Operating Stmt of Activities'!$102:$102</definedName>
    <definedName name="QB_DATA_4" localSheetId="3" hidden="1">'Operating Stmt of Activities'!$103:$103,'Operating Stmt of Activities'!$104:$104,'Operating Stmt of Activities'!$105:$105,'Operating Stmt of Activities'!$106:$106,'Operating Stmt of Activities'!$107:$107,'Operating Stmt of Activities'!$108:$108,'Operating Stmt of Activities'!$109:$109,'Operating Stmt of Activities'!$110:$110,'Operating Stmt of Activities'!$113:$113,'Operating Stmt of Activities'!$114:$114,'Operating Stmt of Activities'!$115:$115,'Operating Stmt of Activities'!$116:$116,'Operating Stmt of Activities'!$119:$119,'Operating Stmt of Activities'!$120:$120,'Operating Stmt of Activities'!$121:$121,'Operating Stmt of Activities'!$124:$124</definedName>
    <definedName name="QB_DATA_5" localSheetId="3" hidden="1">'Operating Stmt of Activities'!$125:$125,'Operating Stmt of Activities'!$126:$126,'Operating Stmt of Activities'!$127:$127,'Operating Stmt of Activities'!$128:$128,'Operating Stmt of Activities'!$129:$129,'Operating Stmt of Activities'!$130:$130,'Operating Stmt of Activities'!$133:$133,'Operating Stmt of Activities'!$134:$134,'Operating Stmt of Activities'!$135:$135,'Operating Stmt of Activities'!$142:$142,'Operating Stmt of Activities'!$144:$144,'Operating Stmt of Activities'!$145:$145,'Operating Stmt of Activities'!$146:$146</definedName>
    <definedName name="QB_FORMULA_0" localSheetId="1" hidden="1">'Balance Sheet'!$G$11,'Balance Sheet'!$G$12,'Balance Sheet'!$G$22,'Balance Sheet'!$G$23,'Balance Sheet'!$G$24,'Balance Sheet'!$G$30,'Balance Sheet'!$G$36,'Balance Sheet'!$G$40,'Balance Sheet'!$G$44,'Balance Sheet'!$G$46,'Balance Sheet'!$G$47,'Balance Sheet'!$G$56,'Balance Sheet'!$G$57,'Balance Sheet'!$G$63,'Balance Sheet'!$G$68,'Balance Sheet'!$G$72</definedName>
    <definedName name="QB_FORMULA_0" localSheetId="3" hidden="1">'Operating Stmt of Activities'!$L$6,'Operating Stmt of Activities'!$R$6,'Operating Stmt of Activities'!$L$7,'Operating Stmt of Activities'!$R$7,'Operating Stmt of Activities'!$L$8,'Operating Stmt of Activities'!$R$8,'Operating Stmt of Activities'!$L$9,'Operating Stmt of Activities'!$R$9,'Operating Stmt of Activities'!$L$10,'Operating Stmt of Activities'!$R$10,'Operating Stmt of Activities'!$H$11,'Operating Stmt of Activities'!$J$11,'Operating Stmt of Activities'!$L$11,'Operating Stmt of Activities'!$N$11,'Operating Stmt of Activities'!$P$11,'Operating Stmt of Activities'!$R$11</definedName>
    <definedName name="QB_FORMULA_0" localSheetId="2" hidden="1">'Operating Summary'!$J$5,'Operating Summary'!$P$5,'Operating Summary'!$J$7,'Operating Summary'!$P$7,'Operating Summary'!$J$8,'Operating Summary'!$P$8,'Operating Summary'!$J$9,'Operating Summary'!$P$9,'Operating Summary'!$J$10,'Operating Summary'!$P$10,'Operating Summary'!$J$11,'Operating Summary'!$P$11,'Operating Summary'!$J$12,'Operating Summary'!$P$12,'Operating Summary'!$J$13,'Operating Summary'!$P$13</definedName>
    <definedName name="QB_FORMULA_1" localSheetId="1" hidden="1">'Balance Sheet'!$G$80,'Balance Sheet'!$G$81,'Balance Sheet'!$G$84,'Balance Sheet'!$G$85,'Balance Sheet'!$G$94,'Balance Sheet'!$G$95</definedName>
    <definedName name="QB_FORMULA_1" localSheetId="3" hidden="1">'Operating Stmt of Activities'!$T$11,'Operating Stmt of Activities'!$L$13,'Operating Stmt of Activities'!$R$13,'Operating Stmt of Activities'!$L$14,'Operating Stmt of Activities'!$R$14,'Operating Stmt of Activities'!$L$15,'Operating Stmt of Activities'!$R$15,'Operating Stmt of Activities'!$L$16,'Operating Stmt of Activities'!$R$16,'Operating Stmt of Activities'!$L$17,'Operating Stmt of Activities'!$R$17,'Operating Stmt of Activities'!$H$18,'Operating Stmt of Activities'!$J$18,'Operating Stmt of Activities'!$L$18,'Operating Stmt of Activities'!$N$18,'Operating Stmt of Activities'!$P$18</definedName>
    <definedName name="QB_FORMULA_1" localSheetId="2" hidden="1">'Operating Summary'!$F$14,'Operating Summary'!$H$14,'Operating Summary'!$J$14,'Operating Summary'!$L$14,'Operating Summary'!$N$14,'Operating Summary'!$P$14,'Operating Summary'!$R$14,'Operating Summary'!$J$17,'Operating Summary'!$P$17,'Operating Summary'!$J$18,'Operating Summary'!$P$18,'Operating Summary'!$J$19,'Operating Summary'!$P$19,'Operating Summary'!$J$20,'Operating Summary'!$P$20,'Operating Summary'!$J$21</definedName>
    <definedName name="QB_FORMULA_10" localSheetId="3" hidden="1">'Operating Stmt of Activities'!$L$67,'Operating Stmt of Activities'!$R$67,'Operating Stmt of Activities'!$L$68,'Operating Stmt of Activities'!$R$68,'Operating Stmt of Activities'!$L$69,'Operating Stmt of Activities'!$R$69,'Operating Stmt of Activities'!$L$70,'Operating Stmt of Activities'!$R$70,'Operating Stmt of Activities'!$L$71,'Operating Stmt of Activities'!$R$71,'Operating Stmt of Activities'!$L$72,'Operating Stmt of Activities'!$R$72,'Operating Stmt of Activities'!$H$73,'Operating Stmt of Activities'!$J$73,'Operating Stmt of Activities'!$L$73,'Operating Stmt of Activities'!$N$73</definedName>
    <definedName name="QB_FORMULA_11" localSheetId="3" hidden="1">'Operating Stmt of Activities'!$P$73,'Operating Stmt of Activities'!$R$73,'Operating Stmt of Activities'!$T$73,'Operating Stmt of Activities'!$H$74,'Operating Stmt of Activities'!$J$74,'Operating Stmt of Activities'!$L$74,'Operating Stmt of Activities'!$N$74,'Operating Stmt of Activities'!$P$74,'Operating Stmt of Activities'!$R$74,'Operating Stmt of Activities'!$T$74,'Operating Stmt of Activities'!$L$77,'Operating Stmt of Activities'!$R$77,'Operating Stmt of Activities'!$L$78,'Operating Stmt of Activities'!$R$78,'Operating Stmt of Activities'!$L$79,'Operating Stmt of Activities'!$R$79</definedName>
    <definedName name="QB_FORMULA_12" localSheetId="3" hidden="1">'Operating Stmt of Activities'!$L$80,'Operating Stmt of Activities'!$R$80,'Operating Stmt of Activities'!$L$81,'Operating Stmt of Activities'!$R$81,'Operating Stmt of Activities'!$H$83,'Operating Stmt of Activities'!$J$83,'Operating Stmt of Activities'!$L$83,'Operating Stmt of Activities'!$N$83,'Operating Stmt of Activities'!$P$83,'Operating Stmt of Activities'!$R$83,'Operating Stmt of Activities'!$T$83,'Operating Stmt of Activities'!$L$85,'Operating Stmt of Activities'!$R$85,'Operating Stmt of Activities'!$L$86,'Operating Stmt of Activities'!$R$86,'Operating Stmt of Activities'!$L$87</definedName>
    <definedName name="QB_FORMULA_13" localSheetId="3" hidden="1">'Operating Stmt of Activities'!$R$87,'Operating Stmt of Activities'!$L$88,'Operating Stmt of Activities'!$R$88,'Operating Stmt of Activities'!$L$89,'Operating Stmt of Activities'!$R$89,'Operating Stmt of Activities'!$L$90,'Operating Stmt of Activities'!$R$90,'Operating Stmt of Activities'!$L$91,'Operating Stmt of Activities'!$R$91,'Operating Stmt of Activities'!$H$92,'Operating Stmt of Activities'!$J$92,'Operating Stmt of Activities'!$L$92,'Operating Stmt of Activities'!$N$92,'Operating Stmt of Activities'!$P$92,'Operating Stmt of Activities'!$R$92,'Operating Stmt of Activities'!$T$92</definedName>
    <definedName name="QB_FORMULA_14" localSheetId="3" hidden="1">'Operating Stmt of Activities'!$L$94,'Operating Stmt of Activities'!$R$94,'Operating Stmt of Activities'!$L$95,'Operating Stmt of Activities'!$R$95,'Operating Stmt of Activities'!$L$96,'Operating Stmt of Activities'!$R$96,'Operating Stmt of Activities'!$L$97,'Operating Stmt of Activities'!$R$97,'Operating Stmt of Activities'!$L$98,'Operating Stmt of Activities'!$R$98,'Operating Stmt of Activities'!$L$99,'Operating Stmt of Activities'!$R$99,'Operating Stmt of Activities'!$H$100,'Operating Stmt of Activities'!$J$100,'Operating Stmt of Activities'!$L$100,'Operating Stmt of Activities'!$N$100</definedName>
    <definedName name="QB_FORMULA_15" localSheetId="3" hidden="1">'Operating Stmt of Activities'!$P$100,'Operating Stmt of Activities'!$R$100,'Operating Stmt of Activities'!$T$100,'Operating Stmt of Activities'!$L$102,'Operating Stmt of Activities'!$R$102,'Operating Stmt of Activities'!$L$103,'Operating Stmt of Activities'!$R$103,'Operating Stmt of Activities'!$L$104,'Operating Stmt of Activities'!$R$104,'Operating Stmt of Activities'!$L$105,'Operating Stmt of Activities'!$R$105,'Operating Stmt of Activities'!$L$106,'Operating Stmt of Activities'!$R$106,'Operating Stmt of Activities'!$L$107,'Operating Stmt of Activities'!$R$107,'Operating Stmt of Activities'!$L$108</definedName>
    <definedName name="QB_FORMULA_16" localSheetId="3" hidden="1">'Operating Stmt of Activities'!$R$108,'Operating Stmt of Activities'!$L$109,'Operating Stmt of Activities'!$R$109,'Operating Stmt of Activities'!$L$110,'Operating Stmt of Activities'!$R$110,'Operating Stmt of Activities'!$H$111,'Operating Stmt of Activities'!$J$111,'Operating Stmt of Activities'!$L$111,'Operating Stmt of Activities'!$N$111,'Operating Stmt of Activities'!$P$111,'Operating Stmt of Activities'!$R$111,'Operating Stmt of Activities'!$T$111,'Operating Stmt of Activities'!$L$113,'Operating Stmt of Activities'!$R$113,'Operating Stmt of Activities'!$L$114,'Operating Stmt of Activities'!$R$114</definedName>
    <definedName name="QB_FORMULA_17" localSheetId="3" hidden="1">'Operating Stmt of Activities'!$L$115,'Operating Stmt of Activities'!$R$115,'Operating Stmt of Activities'!$L$116,'Operating Stmt of Activities'!$R$116,'Operating Stmt of Activities'!$H$117,'Operating Stmt of Activities'!$J$117,'Operating Stmt of Activities'!$L$117,'Operating Stmt of Activities'!$N$117,'Operating Stmt of Activities'!$P$117,'Operating Stmt of Activities'!$R$117,'Operating Stmt of Activities'!$T$117,'Operating Stmt of Activities'!$L$119,'Operating Stmt of Activities'!$R$119,'Operating Stmt of Activities'!$L$120,'Operating Stmt of Activities'!$R$120,'Operating Stmt of Activities'!$L$121</definedName>
    <definedName name="QB_FORMULA_18" localSheetId="3" hidden="1">'Operating Stmt of Activities'!$R$121,'Operating Stmt of Activities'!$H$122,'Operating Stmt of Activities'!$J$122,'Operating Stmt of Activities'!$L$122,'Operating Stmt of Activities'!$N$122,'Operating Stmt of Activities'!$P$122,'Operating Stmt of Activities'!$R$122,'Operating Stmt of Activities'!$T$122,'Operating Stmt of Activities'!$L$124,'Operating Stmt of Activities'!$R$124,'Operating Stmt of Activities'!$L$125,'Operating Stmt of Activities'!$R$125,'Operating Stmt of Activities'!$L$126,'Operating Stmt of Activities'!$R$126,'Operating Stmt of Activities'!$L$127,'Operating Stmt of Activities'!$R$127</definedName>
    <definedName name="QB_FORMULA_19" localSheetId="3" hidden="1">'Operating Stmt of Activities'!$L$128,'Operating Stmt of Activities'!$R$128,'Operating Stmt of Activities'!$L$129,'Operating Stmt of Activities'!$R$129,'Operating Stmt of Activities'!$L$130,'Operating Stmt of Activities'!$R$130,'Operating Stmt of Activities'!$H$131,'Operating Stmt of Activities'!$J$131,'Operating Stmt of Activities'!$L$131,'Operating Stmt of Activities'!$N$131,'Operating Stmt of Activities'!$P$131,'Operating Stmt of Activities'!$R$131,'Operating Stmt of Activities'!$T$131,'Operating Stmt of Activities'!$L$133,'Operating Stmt of Activities'!$R$133,'Operating Stmt of Activities'!$L$134</definedName>
    <definedName name="QB_FORMULA_2" localSheetId="3" hidden="1">'Operating Stmt of Activities'!$R$18,'Operating Stmt of Activities'!$T$18,'Operating Stmt of Activities'!$L$20,'Operating Stmt of Activities'!$R$20,'Operating Stmt of Activities'!$L$21,'Operating Stmt of Activities'!$R$21,'Operating Stmt of Activities'!$L$22,'Operating Stmt of Activities'!$R$22,'Operating Stmt of Activities'!$H$23,'Operating Stmt of Activities'!$J$23,'Operating Stmt of Activities'!$L$23,'Operating Stmt of Activities'!$N$23,'Operating Stmt of Activities'!$P$23,'Operating Stmt of Activities'!$R$23,'Operating Stmt of Activities'!$T$23,'Operating Stmt of Activities'!$L$25</definedName>
    <definedName name="QB_FORMULA_2" localSheetId="2" hidden="1">'Operating Summary'!$P$21,'Operating Summary'!$J$22,'Operating Summary'!$P$22,'Operating Summary'!$F$23,'Operating Summary'!$H$23,'Operating Summary'!$J$23,'Operating Summary'!$L$23,'Operating Summary'!$N$23,'Operating Summary'!$P$23,'Operating Summary'!$R$23,'Operating Summary'!$F$25,'Operating Summary'!$H$25,'Operating Summary'!$J$25,'Operating Summary'!$L$25,'Operating Summary'!$N$25,'Operating Summary'!$P$25</definedName>
    <definedName name="QB_FORMULA_20" localSheetId="3" hidden="1">'Operating Stmt of Activities'!$R$134,'Operating Stmt of Activities'!$L$135,'Operating Stmt of Activities'!$R$135,'Operating Stmt of Activities'!$H$136,'Operating Stmt of Activities'!$J$136,'Operating Stmt of Activities'!$L$136,'Operating Stmt of Activities'!$N$136,'Operating Stmt of Activities'!$P$136,'Operating Stmt of Activities'!$R$136,'Operating Stmt of Activities'!$T$136,'Operating Stmt of Activities'!$H$137,'Operating Stmt of Activities'!$J$137,'Operating Stmt of Activities'!$L$137,'Operating Stmt of Activities'!$N$137,'Operating Stmt of Activities'!$P$137,'Operating Stmt of Activities'!$R$137</definedName>
    <definedName name="QB_FORMULA_21" localSheetId="3" hidden="1">'Operating Stmt of Activities'!$T$137,'Operating Stmt of Activities'!$H$138,'Operating Stmt of Activities'!$J$138,'Operating Stmt of Activities'!$L$138,'Operating Stmt of Activities'!$N$138,'Operating Stmt of Activities'!$P$138,'Operating Stmt of Activities'!$R$138,'Operating Stmt of Activities'!$T$138,'Operating Stmt of Activities'!$L$142,'Operating Stmt of Activities'!$R$142,'Operating Stmt of Activities'!$H$143,'Operating Stmt of Activities'!$J$143,'Operating Stmt of Activities'!$L$143,'Operating Stmt of Activities'!$N$143,'Operating Stmt of Activities'!$P$143,'Operating Stmt of Activities'!$R$143</definedName>
    <definedName name="QB_FORMULA_22" localSheetId="3" hidden="1">'Operating Stmt of Activities'!$T$143,'Operating Stmt of Activities'!$L$144,'Operating Stmt of Activities'!$R$144,'Operating Stmt of Activities'!$L$145,'Operating Stmt of Activities'!$R$145,'Operating Stmt of Activities'!$L$146,'Operating Stmt of Activities'!$R$146,'Operating Stmt of Activities'!$H$147,'Operating Stmt of Activities'!$J$147,'Operating Stmt of Activities'!$L$147,'Operating Stmt of Activities'!$N$147,'Operating Stmt of Activities'!$P$147,'Operating Stmt of Activities'!$R$147,'Operating Stmt of Activities'!$T$147,'Operating Stmt of Activities'!$H$148,'Operating Stmt of Activities'!$J$148</definedName>
    <definedName name="QB_FORMULA_23" localSheetId="3" hidden="1">'Operating Stmt of Activities'!$L$148,'Operating Stmt of Activities'!$N$148,'Operating Stmt of Activities'!$P$148,'Operating Stmt of Activities'!$R$148,'Operating Stmt of Activities'!$T$148,'Operating Stmt of Activities'!$H$149,'Operating Stmt of Activities'!$J$149,'Operating Stmt of Activities'!$L$149,'Operating Stmt of Activities'!$N$149,'Operating Stmt of Activities'!$P$149,'Operating Stmt of Activities'!$R$149,'Operating Stmt of Activities'!$T$149</definedName>
    <definedName name="QB_FORMULA_3" localSheetId="3" hidden="1">'Operating Stmt of Activities'!$R$25,'Operating Stmt of Activities'!$L$26,'Operating Stmt of Activities'!$R$26,'Operating Stmt of Activities'!$L$27,'Operating Stmt of Activities'!$R$27,'Operating Stmt of Activities'!$L$28,'Operating Stmt of Activities'!$R$28,'Operating Stmt of Activities'!$L$29,'Operating Stmt of Activities'!$R$29,'Operating Stmt of Activities'!$H$30,'Operating Stmt of Activities'!$J$30,'Operating Stmt of Activities'!$L$30,'Operating Stmt of Activities'!$N$30,'Operating Stmt of Activities'!$P$30,'Operating Stmt of Activities'!$R$30,'Operating Stmt of Activities'!$T$30</definedName>
    <definedName name="QB_FORMULA_3" localSheetId="2" hidden="1">'Operating Summary'!$R$25,'Operating Summary'!$J$28,'Operating Summary'!$P$28,'Operating Summary'!$J$29,'Operating Summary'!$P$29,'Operating Summary'!$J$30,'Operating Summary'!$P$30,'Operating Summary'!$J$31,'Operating Summary'!$P$31,'Operating Summary'!$J$32,'Operating Summary'!$P$32,'Operating Summary'!$J$33,'Operating Summary'!$P$33,'Operating Summary'!$J$34,'Operating Summary'!$P$34,'Operating Summary'!$J$35</definedName>
    <definedName name="QB_FORMULA_4" localSheetId="3" hidden="1">'Operating Stmt of Activities'!$L$33,'Operating Stmt of Activities'!$R$33,'Operating Stmt of Activities'!$L$34,'Operating Stmt of Activities'!$R$34,'Operating Stmt of Activities'!$L$35,'Operating Stmt of Activities'!$R$35,'Operating Stmt of Activities'!$L$36,'Operating Stmt of Activities'!$R$36,'Operating Stmt of Activities'!$H$37,'Operating Stmt of Activities'!$J$37,'Operating Stmt of Activities'!$L$37,'Operating Stmt of Activities'!$N$37,'Operating Stmt of Activities'!$P$37,'Operating Stmt of Activities'!$R$37,'Operating Stmt of Activities'!$T$37,'Operating Stmt of Activities'!$L$39</definedName>
    <definedName name="QB_FORMULA_4" localSheetId="2" hidden="1">'Operating Summary'!$P$35,'Operating Summary'!$F$36,'Operating Summary'!$H$36,'Operating Summary'!$J$36,'Operating Summary'!$L$36,'Operating Summary'!$N$36,'Operating Summary'!$P$36,'Operating Summary'!$R$36,'Operating Summary'!$F$37,'Operating Summary'!$H$37,'Operating Summary'!$J$37,'Operating Summary'!$L$37,'Operating Summary'!$N$37,'Operating Summary'!$P$37,'Operating Summary'!$R$37,'Operating Summary'!$J$41</definedName>
    <definedName name="QB_FORMULA_5" localSheetId="3" hidden="1">'Operating Stmt of Activities'!$R$39,'Operating Stmt of Activities'!$L$40,'Operating Stmt of Activities'!$R$40,'Operating Stmt of Activities'!$L$41,'Operating Stmt of Activities'!$R$41,'Operating Stmt of Activities'!$L$42,'Operating Stmt of Activities'!$R$42,'Operating Stmt of Activities'!$H$43,'Operating Stmt of Activities'!$J$43,'Operating Stmt of Activities'!$L$43,'Operating Stmt of Activities'!$N$43,'Operating Stmt of Activities'!$P$43,'Operating Stmt of Activities'!$R$43,'Operating Stmt of Activities'!$T$43,'Operating Stmt of Activities'!$H$44,'Operating Stmt of Activities'!$J$44</definedName>
    <definedName name="QB_FORMULA_5" localSheetId="2" hidden="1">'Operating Summary'!$P$41,'Operating Summary'!$J$42,'Operating Summary'!$P$42,'Operating Summary'!$J$43,'Operating Summary'!$P$43,'Operating Summary'!$J$44,'Operating Summary'!$P$44,'Operating Summary'!$F$45,'Operating Summary'!$H$45,'Operating Summary'!$J$45,'Operating Summary'!$L$45,'Operating Summary'!$N$45,'Operating Summary'!$P$45,'Operating Summary'!$R$45,'Operating Summary'!$F$46,'Operating Summary'!$H$46</definedName>
    <definedName name="QB_FORMULA_6" localSheetId="3" hidden="1">'Operating Stmt of Activities'!$L$44,'Operating Stmt of Activities'!$N$44,'Operating Stmt of Activities'!$P$44,'Operating Stmt of Activities'!$R$44,'Operating Stmt of Activities'!$T$44,'Operating Stmt of Activities'!$L$47,'Operating Stmt of Activities'!$R$47,'Operating Stmt of Activities'!$L$48,'Operating Stmt of Activities'!$R$48,'Operating Stmt of Activities'!$L$49,'Operating Stmt of Activities'!$R$49,'Operating Stmt of Activities'!$L$50,'Operating Stmt of Activities'!$R$50,'Operating Stmt of Activities'!$L$51,'Operating Stmt of Activities'!$R$51,'Operating Stmt of Activities'!$H$52</definedName>
    <definedName name="QB_FORMULA_6" localSheetId="2" hidden="1">'Operating Summary'!$J$46,'Operating Summary'!$L$46,'Operating Summary'!$N$46,'Operating Summary'!$P$46,'Operating Summary'!$R$46,'Operating Summary'!$F$47,'Operating Summary'!$H$47,'Operating Summary'!$J$47,'Operating Summary'!$L$47,'Operating Summary'!$N$47,'Operating Summary'!$P$47,'Operating Summary'!$R$47</definedName>
    <definedName name="QB_FORMULA_7" localSheetId="3" hidden="1">'Operating Stmt of Activities'!$J$52,'Operating Stmt of Activities'!$L$52,'Operating Stmt of Activities'!$N$52,'Operating Stmt of Activities'!$P$52,'Operating Stmt of Activities'!$R$52,'Operating Stmt of Activities'!$T$52,'Operating Stmt of Activities'!$L$54,'Operating Stmt of Activities'!$R$54,'Operating Stmt of Activities'!$L$55,'Operating Stmt of Activities'!$R$55,'Operating Stmt of Activities'!$H$56,'Operating Stmt of Activities'!$J$56,'Operating Stmt of Activities'!$L$56,'Operating Stmt of Activities'!$N$56,'Operating Stmt of Activities'!$P$56,'Operating Stmt of Activities'!$R$56</definedName>
    <definedName name="QB_FORMULA_8" localSheetId="3" hidden="1">'Operating Stmt of Activities'!$T$56,'Operating Stmt of Activities'!$H$57,'Operating Stmt of Activities'!$J$57,'Operating Stmt of Activities'!$L$57,'Operating Stmt of Activities'!$N$57,'Operating Stmt of Activities'!$P$57,'Operating Stmt of Activities'!$R$57,'Operating Stmt of Activities'!$T$57,'Operating Stmt of Activities'!$L$58,'Operating Stmt of Activities'!$R$58,'Operating Stmt of Activities'!$L$60,'Operating Stmt of Activities'!$R$60,'Operating Stmt of Activities'!$L$61,'Operating Stmt of Activities'!$R$61,'Operating Stmt of Activities'!$L$62,'Operating Stmt of Activities'!$R$62</definedName>
    <definedName name="QB_FORMULA_9" localSheetId="3" hidden="1">'Operating Stmt of Activities'!$L$63,'Operating Stmt of Activities'!$R$63,'Operating Stmt of Activities'!$H$64,'Operating Stmt of Activities'!$J$64,'Operating Stmt of Activities'!$L$64,'Operating Stmt of Activities'!$N$64,'Operating Stmt of Activities'!$P$64,'Operating Stmt of Activities'!$R$64,'Operating Stmt of Activities'!$T$64,'Operating Stmt of Activities'!$H$65,'Operating Stmt of Activities'!$J$65,'Operating Stmt of Activities'!$L$65,'Operating Stmt of Activities'!$N$65,'Operating Stmt of Activities'!$P$65,'Operating Stmt of Activities'!$R$65,'Operating Stmt of Activities'!$T$65</definedName>
    <definedName name="QB_ROW_1" localSheetId="1" hidden="1">'Balance Sheet'!$A$2</definedName>
    <definedName name="QB_ROW_10031" localSheetId="1" hidden="1">'Balance Sheet'!$D$61</definedName>
    <definedName name="QB_ROW_1011" localSheetId="1" hidden="1">'Balance Sheet'!$B$3</definedName>
    <definedName name="QB_ROW_102250" localSheetId="3" hidden="1">'Operating Stmt of Activities'!$F$119</definedName>
    <definedName name="QB_ROW_10331" localSheetId="1" hidden="1">'Balance Sheet'!$D$63</definedName>
    <definedName name="QB_ROW_110250" localSheetId="3" hidden="1">'Operating Stmt of Activities'!$F$124</definedName>
    <definedName name="QB_ROW_11031" localSheetId="1" hidden="1">'Balance Sheet'!$D$64</definedName>
    <definedName name="QB_ROW_11331" localSheetId="1" hidden="1">'Balance Sheet'!$D$68</definedName>
    <definedName name="QB_ROW_120250" localSheetId="3" hidden="1">'Operating Stmt of Activities'!$F$102</definedName>
    <definedName name="QB_ROW_12031" localSheetId="1" hidden="1">'Balance Sheet'!$D$69</definedName>
    <definedName name="QB_ROW_121040" localSheetId="3" hidden="1">'Operating Stmt of Activities'!$E$59</definedName>
    <definedName name="QB_ROW_121340" localSheetId="3" hidden="1">'Operating Stmt of Activities'!$E$64</definedName>
    <definedName name="QB_ROW_121340" localSheetId="2" hidden="1">'Operating Summary'!$E$13</definedName>
    <definedName name="QB_ROW_1220" localSheetId="1" hidden="1">'Balance Sheet'!$C$88</definedName>
    <definedName name="QB_ROW_123260" localSheetId="3" hidden="1">'Operating Stmt of Activities'!$G$50</definedName>
    <definedName name="QB_ROW_12331" localSheetId="1" hidden="1">'Balance Sheet'!$D$80</definedName>
    <definedName name="QB_ROW_128250" localSheetId="3" hidden="1">'Operating Stmt of Activities'!$F$108</definedName>
    <definedName name="QB_ROW_129240" localSheetId="3" hidden="1">'Operating Stmt of Activities'!$E$58</definedName>
    <definedName name="QB_ROW_129240" localSheetId="2" hidden="1">'Operating Summary'!$E$12</definedName>
    <definedName name="QB_ROW_13021" localSheetId="1" hidden="1">'Balance Sheet'!$C$82</definedName>
    <definedName name="QB_ROW_13030" localSheetId="1" hidden="1">'Balance Sheet'!$D$13</definedName>
    <definedName name="QB_ROW_1311" localSheetId="1" hidden="1">'Balance Sheet'!$B$47</definedName>
    <definedName name="QB_ROW_13321" localSheetId="1" hidden="1">'Balance Sheet'!$C$84</definedName>
    <definedName name="QB_ROW_13330" localSheetId="1" hidden="1">'Balance Sheet'!$D$23</definedName>
    <definedName name="QB_ROW_135240" localSheetId="1" hidden="1">'Balance Sheet'!$E$62</definedName>
    <definedName name="QB_ROW_138360" localSheetId="3" hidden="1">'Operating Stmt of Activities'!$G$33</definedName>
    <definedName name="QB_ROW_139250" localSheetId="3" hidden="1">'Operating Stmt of Activities'!$F$78</definedName>
    <definedName name="QB_ROW_14011" localSheetId="1" hidden="1">'Balance Sheet'!$B$86</definedName>
    <definedName name="QB_ROW_141230" localSheetId="1" hidden="1">'Balance Sheet'!$D$45</definedName>
    <definedName name="QB_ROW_142250" localSheetId="3" hidden="1">'Operating Stmt of Activities'!$F$61</definedName>
    <definedName name="QB_ROW_14311" localSheetId="1" hidden="1">'Balance Sheet'!$B$94</definedName>
    <definedName name="QB_ROW_143250" localSheetId="3" hidden="1">'Operating Stmt of Activities'!$F$98</definedName>
    <definedName name="QB_ROW_145230" localSheetId="1" hidden="1">'Balance Sheet'!$D$28</definedName>
    <definedName name="QB_ROW_148250" localSheetId="3" hidden="1">'Operating Stmt of Activities'!$F$20</definedName>
    <definedName name="QB_ROW_152250" localSheetId="3" hidden="1">'Operating Stmt of Activities'!$F$104</definedName>
    <definedName name="QB_ROW_156250" localSheetId="3" hidden="1">'Operating Stmt of Activities'!$F$21</definedName>
    <definedName name="QB_ROW_157040" localSheetId="3" hidden="1">'Operating Stmt of Activities'!$E$19</definedName>
    <definedName name="QB_ROW_157340" localSheetId="3" hidden="1">'Operating Stmt of Activities'!$E$23</definedName>
    <definedName name="QB_ROW_157340" localSheetId="2" hidden="1">'Operating Summary'!$E$8</definedName>
    <definedName name="QB_ROW_158240" localSheetId="3" hidden="1">'Operating Stmt of Activities'!$E$70</definedName>
    <definedName name="QB_ROW_158240" localSheetId="2" hidden="1">'Operating Summary'!$E$20</definedName>
    <definedName name="QB_ROW_161030" localSheetId="1" hidden="1">'Balance Sheet'!$D$37</definedName>
    <definedName name="QB_ROW_161240" localSheetId="1" hidden="1">'Balance Sheet'!$E$39</definedName>
    <definedName name="QB_ROW_161330" localSheetId="1" hidden="1">'Balance Sheet'!$D$40</definedName>
    <definedName name="QB_ROW_165250" localSheetId="3" hidden="1">'Operating Stmt of Activities'!$F$113</definedName>
    <definedName name="QB_ROW_169250" localSheetId="3" hidden="1">'Operating Stmt of Activities'!$F$22</definedName>
    <definedName name="QB_ROW_170230" localSheetId="3" hidden="1">'Operating Stmt of Activities'!$D$146</definedName>
    <definedName name="QB_ROW_170230" localSheetId="2" hidden="1">'Operating Summary'!$D$44</definedName>
    <definedName name="QB_ROW_171250" localSheetId="3" hidden="1">'Operating Stmt of Activities'!$F$28</definedName>
    <definedName name="QB_ROW_17221" localSheetId="1" hidden="1">'Balance Sheet'!$C$93</definedName>
    <definedName name="QB_ROW_179250" localSheetId="3" hidden="1">'Operating Stmt of Activities'!$F$7</definedName>
    <definedName name="QB_ROW_181250" localSheetId="3" hidden="1">'Operating Stmt of Activities'!$F$6</definedName>
    <definedName name="QB_ROW_18301" localSheetId="3" hidden="1">'Operating Stmt of Activities'!$A$149</definedName>
    <definedName name="QB_ROW_18301" localSheetId="2" hidden="1">'Operating Summary'!$A$47</definedName>
    <definedName name="QB_ROW_185040" localSheetId="1" hidden="1">'Balance Sheet'!$E$14</definedName>
    <definedName name="QB_ROW_185340" localSheetId="1" hidden="1">'Balance Sheet'!$E$22</definedName>
    <definedName name="QB_ROW_186250" localSheetId="3" hidden="1">'Operating Stmt of Activities'!$F$13</definedName>
    <definedName name="QB_ROW_187040" localSheetId="1" hidden="1">'Balance Sheet'!$E$70</definedName>
    <definedName name="QB_ROW_187340" localSheetId="1" hidden="1">'Balance Sheet'!$E$72</definedName>
    <definedName name="QB_ROW_19011" localSheetId="3" hidden="1">'Operating Stmt of Activities'!$B$3</definedName>
    <definedName name="QB_ROW_19011" localSheetId="2" hidden="1">'Operating Summary'!$B$3</definedName>
    <definedName name="QB_ROW_190250" localSheetId="3" hidden="1">'Operating Stmt of Activities'!$F$115</definedName>
    <definedName name="QB_ROW_192240" localSheetId="1" hidden="1">'Balance Sheet'!$E$74</definedName>
    <definedName name="QB_ROW_19250" localSheetId="3" hidden="1">'Operating Stmt of Activities'!$F$97</definedName>
    <definedName name="QB_ROW_19311" localSheetId="3" hidden="1">'Operating Stmt of Activities'!$B$138</definedName>
    <definedName name="QB_ROW_19311" localSheetId="2" hidden="1">'Operating Summary'!$B$37</definedName>
    <definedName name="QB_ROW_193250" localSheetId="3" hidden="1">'Operating Stmt of Activities'!$F$14</definedName>
    <definedName name="QB_ROW_194230" localSheetId="1" hidden="1">'Balance Sheet'!$D$26</definedName>
    <definedName name="QB_ROW_195250" localSheetId="3" hidden="1">'Operating Stmt of Activities'!$F$129</definedName>
    <definedName name="QB_ROW_197250" localSheetId="3" hidden="1">'Operating Stmt of Activities'!$F$94</definedName>
    <definedName name="QB_ROW_200220" localSheetId="1" hidden="1">'Balance Sheet'!$C$50</definedName>
    <definedName name="QB_ROW_20031" localSheetId="3" hidden="1">'Operating Stmt of Activities'!$D$4</definedName>
    <definedName name="QB_ROW_20031" localSheetId="2" hidden="1">'Operating Summary'!$D$4</definedName>
    <definedName name="QB_ROW_2021" localSheetId="1" hidden="1">'Balance Sheet'!$C$4</definedName>
    <definedName name="QB_ROW_202240" localSheetId="1" hidden="1">'Balance Sheet'!$E$35</definedName>
    <definedName name="QB_ROW_20250" localSheetId="3" hidden="1">'Operating Stmt of Activities'!$F$133</definedName>
    <definedName name="QB_ROW_20331" localSheetId="3" hidden="1">'Operating Stmt of Activities'!$D$65</definedName>
    <definedName name="QB_ROW_20331" localSheetId="2" hidden="1">'Operating Summary'!$D$14</definedName>
    <definedName name="QB_ROW_208220" localSheetId="1" hidden="1">'Balance Sheet'!$C$49</definedName>
    <definedName name="QB_ROW_209250" localSheetId="3" hidden="1">'Operating Stmt of Activities'!$F$107</definedName>
    <definedName name="QB_ROW_210250" localSheetId="3" hidden="1">'Operating Stmt of Activities'!$F$25</definedName>
    <definedName name="QB_ROW_21031" localSheetId="3" hidden="1">'Operating Stmt of Activities'!$D$75</definedName>
    <definedName name="QB_ROW_21031" localSheetId="2" hidden="1">'Operating Summary'!$D$27</definedName>
    <definedName name="QB_ROW_211350" localSheetId="3" hidden="1">'Operating Stmt of Activities'!$F$29</definedName>
    <definedName name="QB_ROW_212250" localSheetId="3" hidden="1">'Operating Stmt of Activities'!$F$60</definedName>
    <definedName name="QB_ROW_213030" localSheetId="1" hidden="1">'Balance Sheet'!$D$7</definedName>
    <definedName name="QB_ROW_21331" localSheetId="3" hidden="1">'Operating Stmt of Activities'!$D$137</definedName>
    <definedName name="QB_ROW_21331" localSheetId="2" hidden="1">'Operating Summary'!$D$36</definedName>
    <definedName name="QB_ROW_213330" localSheetId="1" hidden="1">'Balance Sheet'!$D$12</definedName>
    <definedName name="QB_ROW_217040" localSheetId="3" hidden="1">'Operating Stmt of Activities'!$E$45</definedName>
    <definedName name="QB_ROW_217340" localSheetId="3" hidden="1">'Operating Stmt of Activities'!$E$57</definedName>
    <definedName name="QB_ROW_217340" localSheetId="2" hidden="1">'Operating Summary'!$E$11</definedName>
    <definedName name="QB_ROW_218250" localSheetId="3" hidden="1">'Operating Stmt of Activities'!$F$63</definedName>
    <definedName name="QB_ROW_22011" localSheetId="3" hidden="1">'Operating Stmt of Activities'!$B$139</definedName>
    <definedName name="QB_ROW_22011" localSheetId="2" hidden="1">'Operating Summary'!$B$39</definedName>
    <definedName name="QB_ROW_220220" localSheetId="1" hidden="1">'Balance Sheet'!$C$52</definedName>
    <definedName name="QB_ROW_222220" localSheetId="1" hidden="1">'Balance Sheet'!$C$53</definedName>
    <definedName name="QB_ROW_22250" localSheetId="3" hidden="1">'Operating Stmt of Activities'!$F$128</definedName>
    <definedName name="QB_ROW_22311" localSheetId="3" hidden="1">'Operating Stmt of Activities'!$B$148</definedName>
    <definedName name="QB_ROW_22311" localSheetId="2" hidden="1">'Operating Summary'!$B$46</definedName>
    <definedName name="QB_ROW_223220" localSheetId="1" hidden="1">'Balance Sheet'!$C$55</definedName>
    <definedName name="QB_ROW_224250" localSheetId="1" hidden="1">'Balance Sheet'!$F$10</definedName>
    <definedName name="QB_ROW_23021" localSheetId="3" hidden="1">'Operating Stmt of Activities'!$C$140</definedName>
    <definedName name="QB_ROW_23021" localSheetId="2" hidden="1">'Operating Summary'!$C$40</definedName>
    <definedName name="QB_ROW_230250" localSheetId="3" hidden="1">'Operating Stmt of Activities'!$F$99</definedName>
    <definedName name="QB_ROW_231030" localSheetId="1" hidden="1">'Balance Sheet'!$D$41</definedName>
    <definedName name="QB_ROW_231330" localSheetId="1" hidden="1">'Balance Sheet'!$D$44</definedName>
    <definedName name="QB_ROW_2321" localSheetId="1" hidden="1">'Balance Sheet'!$C$24</definedName>
    <definedName name="QB_ROW_23250" localSheetId="3" hidden="1">'Operating Stmt of Activities'!$F$114</definedName>
    <definedName name="QB_ROW_23321" localSheetId="3" hidden="1">'Operating Stmt of Activities'!$C$147</definedName>
    <definedName name="QB_ROW_23321" localSheetId="2" hidden="1">'Operating Summary'!$C$45</definedName>
    <definedName name="QB_ROW_234240" localSheetId="1" hidden="1">'Balance Sheet'!$E$38</definedName>
    <definedName name="QB_ROW_238220" localSheetId="1" hidden="1">'Balance Sheet'!$C$89</definedName>
    <definedName name="QB_ROW_239220" localSheetId="1" hidden="1">'Balance Sheet'!$C$91</definedName>
    <definedName name="QB_ROW_240220" localSheetId="1" hidden="1">'Balance Sheet'!$C$92</definedName>
    <definedName name="QB_ROW_24250" localSheetId="3" hidden="1">'Operating Stmt of Activities'!$F$116</definedName>
    <definedName name="QB_ROW_244250" localSheetId="1" hidden="1">'Balance Sheet'!$F$15</definedName>
    <definedName name="QB_ROW_251240" localSheetId="3" hidden="1">'Operating Stmt of Activities'!$E$72</definedName>
    <definedName name="QB_ROW_251240" localSheetId="2" hidden="1">'Operating Summary'!$E$22</definedName>
    <definedName name="QB_ROW_25250" localSheetId="3" hidden="1">'Operating Stmt of Activities'!$F$126</definedName>
    <definedName name="QB_ROW_253240" localSheetId="1" hidden="1">'Balance Sheet'!$E$77</definedName>
    <definedName name="QB_ROW_254230" localSheetId="3" hidden="1">'Operating Stmt of Activities'!$D$145</definedName>
    <definedName name="QB_ROW_254230" localSheetId="2" hidden="1">'Operating Summary'!$D$43</definedName>
    <definedName name="QB_ROW_260240" localSheetId="3" hidden="1">'Operating Stmt of Activities'!$E$71</definedName>
    <definedName name="QB_ROW_260240" localSheetId="2" hidden="1">'Operating Summary'!$E$21</definedName>
    <definedName name="QB_ROW_262240" localSheetId="1" hidden="1">'Balance Sheet'!$E$42</definedName>
    <definedName name="QB_ROW_26250" localSheetId="3" hidden="1">'Operating Stmt of Activities'!$F$103</definedName>
    <definedName name="QB_ROW_263240" localSheetId="1" hidden="1">'Balance Sheet'!$E$76</definedName>
    <definedName name="QB_ROW_268040" localSheetId="3" hidden="1">'Operating Stmt of Activities'!$E$5</definedName>
    <definedName name="QB_ROW_268340" localSheetId="3" hidden="1">'Operating Stmt of Activities'!$E$11</definedName>
    <definedName name="QB_ROW_268340" localSheetId="2" hidden="1">'Operating Summary'!$E$5</definedName>
    <definedName name="QB_ROW_269040" localSheetId="3" hidden="1">'Operating Stmt of Activities'!$E$12</definedName>
    <definedName name="QB_ROW_269340" localSheetId="3" hidden="1">'Operating Stmt of Activities'!$E$18</definedName>
    <definedName name="QB_ROW_269340" localSheetId="2" hidden="1">'Operating Summary'!$E$7</definedName>
    <definedName name="QB_ROW_270040" localSheetId="3" hidden="1">'Operating Stmt of Activities'!$E$24</definedName>
    <definedName name="QB_ROW_270340" localSheetId="3" hidden="1">'Operating Stmt of Activities'!$E$30</definedName>
    <definedName name="QB_ROW_270340" localSheetId="2" hidden="1">'Operating Summary'!$E$9</definedName>
    <definedName name="QB_ROW_274220" localSheetId="1" hidden="1">'Balance Sheet'!$C$54</definedName>
    <definedName name="QB_ROW_280030" localSheetId="1" hidden="1">'Balance Sheet'!$D$32</definedName>
    <definedName name="QB_ROW_280330" localSheetId="1" hidden="1">'Balance Sheet'!$D$36</definedName>
    <definedName name="QB_ROW_281240" localSheetId="1" hidden="1">'Balance Sheet'!$E$34</definedName>
    <definedName name="QB_ROW_289050" localSheetId="3" hidden="1">'Operating Stmt of Activities'!$F$53</definedName>
    <definedName name="QB_ROW_289350" localSheetId="3" hidden="1">'Operating Stmt of Activities'!$F$56</definedName>
    <definedName name="QB_ROW_293230" localSheetId="1" hidden="1">'Balance Sheet'!$D$6</definedName>
    <definedName name="QB_ROW_298230" localSheetId="1" hidden="1">'Balance Sheet'!$D$29</definedName>
    <definedName name="QB_ROW_300040" localSheetId="3" hidden="1">'Operating Stmt of Activities'!$E$93</definedName>
    <definedName name="QB_ROW_300340" localSheetId="3" hidden="1">'Operating Stmt of Activities'!$E$100</definedName>
    <definedName name="QB_ROW_300340" localSheetId="2" hidden="1">'Operating Summary'!$E$30</definedName>
    <definedName name="QB_ROW_301" localSheetId="1" hidden="1">'Balance Sheet'!$A$57</definedName>
    <definedName name="QB_ROW_301040" localSheetId="3" hidden="1">'Operating Stmt of Activities'!$E$101</definedName>
    <definedName name="QB_ROW_301340" localSheetId="3" hidden="1">'Operating Stmt of Activities'!$E$111</definedName>
    <definedName name="QB_ROW_301340" localSheetId="2" hidden="1">'Operating Summary'!$E$31</definedName>
    <definedName name="QB_ROW_302040" localSheetId="3" hidden="1">'Operating Stmt of Activities'!$E$112</definedName>
    <definedName name="QB_ROW_3021" localSheetId="1" hidden="1">'Balance Sheet'!$C$25</definedName>
    <definedName name="QB_ROW_302340" localSheetId="3" hidden="1">'Operating Stmt of Activities'!$E$117</definedName>
    <definedName name="QB_ROW_302340" localSheetId="2" hidden="1">'Operating Summary'!$E$32</definedName>
    <definedName name="QB_ROW_30250" localSheetId="3" hidden="1">'Operating Stmt of Activities'!$F$96</definedName>
    <definedName name="QB_ROW_303040" localSheetId="3" hidden="1">'Operating Stmt of Activities'!$E$123</definedName>
    <definedName name="QB_ROW_303340" localSheetId="3" hidden="1">'Operating Stmt of Activities'!$E$131</definedName>
    <definedName name="QB_ROW_303340" localSheetId="2" hidden="1">'Operating Summary'!$E$34</definedName>
    <definedName name="QB_ROW_304040" localSheetId="3" hidden="1">'Operating Stmt of Activities'!$E$132</definedName>
    <definedName name="QB_ROW_304340" localSheetId="3" hidden="1">'Operating Stmt of Activities'!$E$136</definedName>
    <definedName name="QB_ROW_304340" localSheetId="2" hidden="1">'Operating Summary'!$E$35</definedName>
    <definedName name="QB_ROW_305220" localSheetId="1" hidden="1">'Balance Sheet'!$C$90</definedName>
    <definedName name="QB_ROW_308250" localSheetId="1" hidden="1">'Balance Sheet'!$F$18</definedName>
    <definedName name="QB_ROW_309250" localSheetId="1" hidden="1">'Balance Sheet'!$F$19</definedName>
    <definedName name="QB_ROW_310250" localSheetId="1" hidden="1">'Balance Sheet'!$F$20</definedName>
    <definedName name="QB_ROW_311250" localSheetId="1" hidden="1">'Balance Sheet'!$F$21</definedName>
    <definedName name="QB_ROW_31240" localSheetId="1" hidden="1">'Balance Sheet'!$E$78</definedName>
    <definedName name="QB_ROW_315250" localSheetId="1" hidden="1">'Balance Sheet'!$F$17</definedName>
    <definedName name="QB_ROW_325240" localSheetId="1" hidden="1">'Balance Sheet'!$E$79</definedName>
    <definedName name="QB_ROW_3321" localSheetId="1" hidden="1">'Balance Sheet'!$C$30</definedName>
    <definedName name="QB_ROW_332250" localSheetId="3" hidden="1">'Operating Stmt of Activities'!$F$109</definedName>
    <definedName name="QB_ROW_339250" localSheetId="3" hidden="1">'Operating Stmt of Activities'!$F$16</definedName>
    <definedName name="QB_ROW_344250" localSheetId="3" hidden="1">'Operating Stmt of Activities'!$F$62</definedName>
    <definedName name="QB_ROW_345260" localSheetId="3" hidden="1">'Operating Stmt of Activities'!$G$48</definedName>
    <definedName name="QB_ROW_350260" localSheetId="3" hidden="1">'Operating Stmt of Activities'!$G$49</definedName>
    <definedName name="QB_ROW_351250" localSheetId="3" hidden="1">'Operating Stmt of Activities'!$F$110</definedName>
    <definedName name="QB_ROW_35250" localSheetId="1" hidden="1">'Balance Sheet'!$F$9</definedName>
    <definedName name="QB_ROW_356240" localSheetId="1" hidden="1">'Balance Sheet'!$E$43</definedName>
    <definedName name="QB_ROW_357250" localSheetId="3" hidden="1">'Operating Stmt of Activities'!$F$87</definedName>
    <definedName name="QB_ROW_359250" localSheetId="3" hidden="1">'Operating Stmt of Activities'!$F$86</definedName>
    <definedName name="QB_ROW_360250" localSheetId="3" hidden="1">'Operating Stmt of Activities'!$F$85</definedName>
    <definedName name="QB_ROW_361250" localSheetId="3" hidden="1">'Operating Stmt of Activities'!$F$89</definedName>
    <definedName name="QB_ROW_362250" localSheetId="3" hidden="1">'Operating Stmt of Activities'!$F$91</definedName>
    <definedName name="QB_ROW_363250" localSheetId="3" hidden="1">'Operating Stmt of Activities'!$F$88</definedName>
    <definedName name="QB_ROW_364250" localSheetId="3" hidden="1">'Operating Stmt of Activities'!$F$135</definedName>
    <definedName name="QB_ROW_369250" localSheetId="3" hidden="1">'Operating Stmt of Activities'!$F$9</definedName>
    <definedName name="QB_ROW_370260" localSheetId="3" hidden="1">'Operating Stmt of Activities'!$G$55</definedName>
    <definedName name="QB_ROW_371250" localSheetId="3" hidden="1">'Operating Stmt of Activities'!$F$17</definedName>
    <definedName name="QB_ROW_37250" localSheetId="3" hidden="1">'Operating Stmt of Activities'!$F$105</definedName>
    <definedName name="QB_ROW_374250" localSheetId="3" hidden="1">'Operating Stmt of Activities'!$F$120</definedName>
    <definedName name="QB_ROW_376240" localSheetId="3" hidden="1">'Operating Stmt of Activities'!$E$67</definedName>
    <definedName name="QB_ROW_376240" localSheetId="2" hidden="1">'Operating Summary'!$E$17</definedName>
    <definedName name="QB_ROW_377240" localSheetId="1" hidden="1">'Balance Sheet'!$E$75</definedName>
    <definedName name="QB_ROW_38250" localSheetId="3" hidden="1">'Operating Stmt of Activities'!$F$106</definedName>
    <definedName name="QB_ROW_390250" localSheetId="1" hidden="1">'Balance Sheet'!$F$71</definedName>
    <definedName name="QB_ROW_391250" localSheetId="3" hidden="1">'Operating Stmt of Activities'!$F$130</definedName>
    <definedName name="QB_ROW_393260" localSheetId="3" hidden="1">'Operating Stmt of Activities'!$G$51</definedName>
    <definedName name="QB_ROW_395240" localSheetId="1" hidden="1">'Balance Sheet'!$E$65</definedName>
    <definedName name="QB_ROW_396240" localSheetId="1" hidden="1">'Balance Sheet'!$E$66</definedName>
    <definedName name="QB_ROW_399250" localSheetId="3" hidden="1">'Operating Stmt of Activities'!$F$77</definedName>
    <definedName name="QB_ROW_400260" localSheetId="3" hidden="1">'Operating Stmt of Activities'!$G$54</definedName>
    <definedName name="QB_ROW_401240" localSheetId="3" hidden="1">'Operating Stmt of Activities'!$E$142</definedName>
    <definedName name="QB_ROW_4021" localSheetId="1" hidden="1">'Balance Sheet'!$C$31</definedName>
    <definedName name="QB_ROW_403040" localSheetId="3" hidden="1">'Operating Stmt of Activities'!$E$31</definedName>
    <definedName name="QB_ROW_403340" localSheetId="3" hidden="1">'Operating Stmt of Activities'!$E$44</definedName>
    <definedName name="QB_ROW_403340" localSheetId="2" hidden="1">'Operating Summary'!$E$10</definedName>
    <definedName name="QB_ROW_404260" localSheetId="3" hidden="1">'Operating Stmt of Activities'!$G$36</definedName>
    <definedName name="QB_ROW_405260" localSheetId="3" hidden="1">'Operating Stmt of Activities'!$G$39</definedName>
    <definedName name="QB_ROW_406250" localSheetId="3" hidden="1">'Operating Stmt of Activities'!$F$134</definedName>
    <definedName name="QB_ROW_407230" localSheetId="1" hidden="1">'Balance Sheet'!$D$27</definedName>
    <definedName name="QB_ROW_410030" localSheetId="3" hidden="1">'Operating Stmt of Activities'!$D$141</definedName>
    <definedName name="QB_ROW_410330" localSheetId="3" hidden="1">'Operating Stmt of Activities'!$D$143</definedName>
    <definedName name="QB_ROW_410330" localSheetId="2" hidden="1">'Operating Summary'!$D$41</definedName>
    <definedName name="QB_ROW_412260" localSheetId="3" hidden="1">'Operating Stmt of Activities'!$G$42</definedName>
    <definedName name="QB_ROW_413250" localSheetId="3" hidden="1">'Operating Stmt of Activities'!$F$95</definedName>
    <definedName name="QB_ROW_416260" localSheetId="3" hidden="1">'Operating Stmt of Activities'!$G$47</definedName>
    <definedName name="QB_ROW_420250" localSheetId="3" hidden="1">'Operating Stmt of Activities'!$F$10</definedName>
    <definedName name="QB_ROW_421250" localSheetId="3" hidden="1">'Operating Stmt of Activities'!$F$27</definedName>
    <definedName name="QB_ROW_4220" localSheetId="1" hidden="1">'Balance Sheet'!$C$87</definedName>
    <definedName name="QB_ROW_422050" localSheetId="3" hidden="1">'Operating Stmt of Activities'!$F$32</definedName>
    <definedName name="QB_ROW_422350" localSheetId="3" hidden="1">'Operating Stmt of Activities'!$F$37</definedName>
    <definedName name="QB_ROW_423260" localSheetId="3" hidden="1">'Operating Stmt of Activities'!$G$34</definedName>
    <definedName name="QB_ROW_424050" localSheetId="3" hidden="1">'Operating Stmt of Activities'!$F$38</definedName>
    <definedName name="QB_ROW_424350" localSheetId="3" hidden="1">'Operating Stmt of Activities'!$F$43</definedName>
    <definedName name="QB_ROW_425260" localSheetId="3" hidden="1">'Operating Stmt of Activities'!$G$40</definedName>
    <definedName name="QB_ROW_426220" localSheetId="1" hidden="1">'Balance Sheet'!$C$51</definedName>
    <definedName name="QB_ROW_427230" localSheetId="1" hidden="1">'Balance Sheet'!$D$83</definedName>
    <definedName name="QB_ROW_428250" localSheetId="3" hidden="1">'Operating Stmt of Activities'!$F$121</definedName>
    <definedName name="QB_ROW_430250" localSheetId="3" hidden="1">'Operating Stmt of Activities'!$F$15</definedName>
    <definedName name="QB_ROW_4321" localSheetId="1" hidden="1">'Balance Sheet'!$C$46</definedName>
    <definedName name="QB_ROW_433240" localSheetId="1" hidden="1">'Balance Sheet'!$E$67</definedName>
    <definedName name="QB_ROW_434240" localSheetId="1" hidden="1">'Balance Sheet'!$E$73</definedName>
    <definedName name="QB_ROW_435250" localSheetId="3" hidden="1">'Operating Stmt of Activities'!$F$90</definedName>
    <definedName name="QB_ROW_436260" localSheetId="3" hidden="1">'Operating Stmt of Activities'!$G$35</definedName>
    <definedName name="QB_ROW_437260" localSheetId="3" hidden="1">'Operating Stmt of Activities'!$G$41</definedName>
    <definedName name="QB_ROW_438250" localSheetId="1" hidden="1">'Balance Sheet'!$F$16</definedName>
    <definedName name="QB_ROW_46250" localSheetId="3" hidden="1">'Operating Stmt of Activities'!$F$8</definedName>
    <definedName name="QB_ROW_49040" localSheetId="3" hidden="1">'Operating Stmt of Activities'!$E$76</definedName>
    <definedName name="QB_ROW_49340" localSheetId="3" hidden="1">'Operating Stmt of Activities'!$E$83</definedName>
    <definedName name="QB_ROW_49340" localSheetId="2" hidden="1">'Operating Summary'!$E$28</definedName>
    <definedName name="QB_ROW_5011" localSheetId="1" hidden="1">'Balance Sheet'!$B$48</definedName>
    <definedName name="QB_ROW_50250" localSheetId="3" hidden="1">'Operating Stmt of Activities'!$F$79</definedName>
    <definedName name="QB_ROW_52250" localSheetId="3" hidden="1">'Operating Stmt of Activities'!$F$80</definedName>
    <definedName name="QB_ROW_5311" localSheetId="1" hidden="1">'Balance Sheet'!$B$56</definedName>
    <definedName name="QB_ROW_53250" localSheetId="3" hidden="1">'Operating Stmt of Activities'!$F$81</definedName>
    <definedName name="QB_ROW_59250" localSheetId="3" hidden="1">'Operating Stmt of Activities'!$F$82</definedName>
    <definedName name="QB_ROW_60240" localSheetId="3" hidden="1">'Operating Stmt of Activities'!$E$69</definedName>
    <definedName name="QB_ROW_60240" localSheetId="2" hidden="1">'Operating Summary'!$E$19</definedName>
    <definedName name="QB_ROW_61250" localSheetId="3" hidden="1">'Operating Stmt of Activities'!$F$127</definedName>
    <definedName name="QB_ROW_69040" localSheetId="1" hidden="1">'Balance Sheet'!$E$8</definedName>
    <definedName name="QB_ROW_69340" localSheetId="1" hidden="1">'Balance Sheet'!$E$11</definedName>
    <definedName name="QB_ROW_7001" localSheetId="1" hidden="1">'Balance Sheet'!$A$58</definedName>
    <definedName name="QB_ROW_70230" localSheetId="1" hidden="1">'Balance Sheet'!$D$5</definedName>
    <definedName name="QB_ROW_7040" localSheetId="3" hidden="1">'Operating Stmt of Activities'!$E$84</definedName>
    <definedName name="QB_ROW_71240" localSheetId="1" hidden="1">'Balance Sheet'!$E$33</definedName>
    <definedName name="QB_ROW_7301" localSheetId="1" hidden="1">'Balance Sheet'!$A$95</definedName>
    <definedName name="QB_ROW_7340" localSheetId="3" hidden="1">'Operating Stmt of Activities'!$E$92</definedName>
    <definedName name="QB_ROW_7340" localSheetId="2" hidden="1">'Operating Summary'!$E$29</definedName>
    <definedName name="QB_ROW_8011" localSheetId="1" hidden="1">'Balance Sheet'!$B$59</definedName>
    <definedName name="QB_ROW_80340" localSheetId="3" hidden="1">'Operating Stmt of Activities'!$E$68</definedName>
    <definedName name="QB_ROW_80340" localSheetId="2" hidden="1">'Operating Summary'!$E$18</definedName>
    <definedName name="QB_ROW_82040" localSheetId="3" hidden="1">'Operating Stmt of Activities'!$E$118</definedName>
    <definedName name="QB_ROW_82340" localSheetId="3" hidden="1">'Operating Stmt of Activities'!$E$122</definedName>
    <definedName name="QB_ROW_82340" localSheetId="2" hidden="1">'Operating Summary'!$E$33</definedName>
    <definedName name="QB_ROW_8311" localSheetId="1" hidden="1">'Balance Sheet'!$B$85</definedName>
    <definedName name="QB_ROW_86250" localSheetId="3" hidden="1">'Operating Stmt of Activities'!$F$125</definedName>
    <definedName name="QB_ROW_86321" localSheetId="3" hidden="1">'Operating Stmt of Activities'!$C$74</definedName>
    <definedName name="QB_ROW_86321" localSheetId="2" hidden="1">'Operating Summary'!$C$25</definedName>
    <definedName name="QB_ROW_87031" localSheetId="3" hidden="1">'Operating Stmt of Activities'!$D$66</definedName>
    <definedName name="QB_ROW_87031" localSheetId="2" hidden="1">'Operating Summary'!$D$16</definedName>
    <definedName name="QB_ROW_87331" localSheetId="3" hidden="1">'Operating Stmt of Activities'!$D$73</definedName>
    <definedName name="QB_ROW_87331" localSheetId="2" hidden="1">'Operating Summary'!$D$23</definedName>
    <definedName name="QB_ROW_90050" localSheetId="3" hidden="1">'Operating Stmt of Activities'!$F$46</definedName>
    <definedName name="QB_ROW_9021" localSheetId="1" hidden="1">'Balance Sheet'!$C$60</definedName>
    <definedName name="QB_ROW_90350" localSheetId="3" hidden="1">'Operating Stmt of Activities'!$F$52</definedName>
    <definedName name="QB_ROW_9230" localSheetId="3" hidden="1">'Operating Stmt of Activities'!$D$144</definedName>
    <definedName name="QB_ROW_9230" localSheetId="2" hidden="1">'Operating Summary'!$D$42</definedName>
    <definedName name="QB_ROW_9321" localSheetId="1" hidden="1">'Balance Sheet'!$C$81</definedName>
    <definedName name="QB_ROW_98250" localSheetId="3" hidden="1">'Operating Stmt of Activities'!$F$26</definedName>
    <definedName name="QBCANSUPPORTUPDATE" localSheetId="1">TRUE</definedName>
    <definedName name="QBCANSUPPORTUPDATE" localSheetId="3">TRUE</definedName>
    <definedName name="QBCANSUPPORTUPDATE" localSheetId="2">TRUE</definedName>
    <definedName name="QBCOMPANYFILENAME" localSheetId="1">"Q:\QuickbooksTCMJune14Move2.QBW"</definedName>
    <definedName name="QBCOMPANYFILENAME" localSheetId="3">"Q:\QuickbooksTCMJune14Move2.QBW"</definedName>
    <definedName name="QBCOMPANYFILENAME" localSheetId="2">"Q:\QuickbooksTCMJune14Move2.QBW"</definedName>
    <definedName name="QBENDDATE" localSheetId="1">20190630</definedName>
    <definedName name="QBENDDATE" localSheetId="3">20190630</definedName>
    <definedName name="QBENDDATE" localSheetId="2">20190630</definedName>
    <definedName name="QBHEADERSONSCREEN" localSheetId="1">FALSE</definedName>
    <definedName name="QBHEADERSONSCREEN" localSheetId="3">FALSE</definedName>
    <definedName name="QBHEADERSONSCREEN" localSheetId="2">FALSE</definedName>
    <definedName name="QBMETADATASIZE" localSheetId="1">5907</definedName>
    <definedName name="QBMETADATASIZE" localSheetId="3">5907</definedName>
    <definedName name="QBMETADATASIZE" localSheetId="2">5907</definedName>
    <definedName name="QBPRESERVECOLOR" localSheetId="1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3">TRUE</definedName>
    <definedName name="QBPRESERVESPACE" localSheetId="2">TRUE</definedName>
    <definedName name="QBREPORTCOLAXIS" localSheetId="1">0</definedName>
    <definedName name="QBREPORTCOLAXIS" localSheetId="3">0</definedName>
    <definedName name="QBREPORTCOLAXIS" localSheetId="2">0</definedName>
    <definedName name="QBREPORTCOMPANYID" localSheetId="1">"559664b467bf4e669f77741fb251ef17"</definedName>
    <definedName name="QBREPORTCOMPANYID" localSheetId="3">"559664b467bf4e669f77741fb251ef17"</definedName>
    <definedName name="QBREPORTCOMPANYID" localSheetId="2">"559664b467bf4e669f77741fb251ef17"</definedName>
    <definedName name="QBREPORTCOMPARECOL_ANNUALBUDGET" localSheetId="1">FALSE</definedName>
    <definedName name="QBREPORTCOMPARECOL_ANNUALBUDGET" localSheetId="3">TRUE</definedName>
    <definedName name="QBREPORTCOMPARECOL_ANNUALBUDGET" localSheetId="2">TRUE</definedName>
    <definedName name="QBREPORTCOMPARECOL_AVGCOGS" localSheetId="1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2">FALSE</definedName>
    <definedName name="QBREPORTCOMPARECOL_BUDGET" localSheetId="1">FALSE</definedName>
    <definedName name="QBREPORTCOMPARECOL_BUDGET" localSheetId="3">TRUE</definedName>
    <definedName name="QBREPORTCOMPARECOL_BUDGET" localSheetId="2">TRUE</definedName>
    <definedName name="QBREPORTCOMPARECOL_BUDPCT" localSheetId="1">FALSE</definedName>
    <definedName name="QBREPORTCOMPARECOL_BUDPCT" localSheetId="3">TRUE</definedName>
    <definedName name="QBREPORTCOMPARECOL_BUDPCT" localSheetId="2">TRUE</definedName>
    <definedName name="QBREPORTCOMPARECOL_COGS" localSheetId="1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3">TRUE</definedName>
    <definedName name="QBREPORTCOMPARECOL_YTD" localSheetId="2">TRUE</definedName>
    <definedName name="QBREPORTCOMPARECOL_YTDBUDGET" localSheetId="1">FALSE</definedName>
    <definedName name="QBREPORTCOMPARECOL_YTDBUDGET" localSheetId="3">TRUE</definedName>
    <definedName name="QBREPORTCOMPARECOL_YTDBUDGET" localSheetId="2">TRUE</definedName>
    <definedName name="QBREPORTCOMPARECOL_YTDPCT" localSheetId="1">FALSE</definedName>
    <definedName name="QBREPORTCOMPARECOL_YTDPCT" localSheetId="3">FALSE</definedName>
    <definedName name="QBREPORTCOMPARECOL_YTDPCT" localSheetId="2">FALSE</definedName>
    <definedName name="QBREPORTROWAXIS" localSheetId="1">9</definedName>
    <definedName name="QBREPORTROWAXIS" localSheetId="3">11</definedName>
    <definedName name="QBREPORTROWAXIS" localSheetId="2">11</definedName>
    <definedName name="QBREPORTSUBCOLAXIS" localSheetId="1">0</definedName>
    <definedName name="QBREPORTSUBCOLAXIS" localSheetId="3">24</definedName>
    <definedName name="QBREPORTSUBCOLAXIS" localSheetId="2">24</definedName>
    <definedName name="QBREPORTTYPE" localSheetId="1">5</definedName>
    <definedName name="QBREPORTTYPE" localSheetId="3">273</definedName>
    <definedName name="QBREPORTTYPE" localSheetId="2">273</definedName>
    <definedName name="QBROWHEADERS" localSheetId="1">6</definedName>
    <definedName name="QBROWHEADERS" localSheetId="3">7</definedName>
    <definedName name="QBROWHEADERS" localSheetId="2">5</definedName>
    <definedName name="QBSTARTDATE" localSheetId="1">20190630</definedName>
    <definedName name="QBSTARTDATE" localSheetId="3">20190601</definedName>
    <definedName name="QBSTARTDATE" localSheetId="2">20190601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3" l="1"/>
  <c r="R14" i="3"/>
  <c r="R23" i="3"/>
  <c r="R25" i="3"/>
  <c r="L14" i="3"/>
  <c r="L23" i="3"/>
  <c r="L25" i="3"/>
  <c r="T25" i="3"/>
  <c r="T23" i="3"/>
  <c r="T14" i="3"/>
  <c r="B7" i="1"/>
  <c r="B6" i="1"/>
  <c r="G94" i="4"/>
  <c r="G84" i="4"/>
  <c r="G72" i="4"/>
  <c r="G80" i="4"/>
  <c r="G68" i="4"/>
  <c r="G63" i="4"/>
  <c r="G56" i="4"/>
  <c r="G36" i="4"/>
  <c r="G40" i="4"/>
  <c r="G44" i="4"/>
  <c r="G46" i="4"/>
  <c r="G30" i="4"/>
  <c r="G22" i="4"/>
  <c r="G23" i="4"/>
  <c r="B21" i="1"/>
  <c r="G11" i="4"/>
  <c r="G12" i="4"/>
  <c r="G24" i="4"/>
  <c r="G47" i="4"/>
  <c r="G57" i="4"/>
  <c r="B8" i="1"/>
  <c r="G81" i="4"/>
  <c r="G85" i="4"/>
  <c r="G95" i="4"/>
  <c r="X44" i="3"/>
  <c r="X43" i="3"/>
  <c r="X42" i="3"/>
  <c r="X41" i="3"/>
  <c r="X35" i="3"/>
  <c r="X34" i="3"/>
  <c r="X33" i="3"/>
  <c r="X32" i="3"/>
  <c r="X31" i="3"/>
  <c r="X30" i="3"/>
  <c r="X29" i="3"/>
  <c r="X28" i="3"/>
  <c r="X22" i="3"/>
  <c r="X21" i="3"/>
  <c r="X20" i="3"/>
  <c r="X19" i="3"/>
  <c r="X18" i="3"/>
  <c r="X17" i="3"/>
  <c r="X13" i="3"/>
  <c r="X12" i="3"/>
  <c r="X11" i="3"/>
  <c r="X10" i="3"/>
  <c r="X9" i="3"/>
  <c r="X8" i="3"/>
  <c r="X7" i="3"/>
  <c r="X6" i="3"/>
  <c r="T44" i="3"/>
  <c r="T43" i="3"/>
  <c r="T42" i="3"/>
  <c r="T41" i="3"/>
  <c r="T35" i="3"/>
  <c r="T34" i="3"/>
  <c r="T33" i="3"/>
  <c r="T32" i="3"/>
  <c r="T31" i="3"/>
  <c r="T30" i="3"/>
  <c r="T29" i="3"/>
  <c r="T28" i="3"/>
  <c r="T22" i="3"/>
  <c r="T21" i="3"/>
  <c r="T20" i="3"/>
  <c r="T19" i="3"/>
  <c r="T18" i="3"/>
  <c r="T17" i="3"/>
  <c r="T13" i="3"/>
  <c r="T12" i="3"/>
  <c r="T11" i="3"/>
  <c r="T10" i="3"/>
  <c r="T9" i="3"/>
  <c r="T8" i="3"/>
  <c r="T7" i="3"/>
  <c r="T6" i="3"/>
  <c r="X5" i="3"/>
  <c r="P6" i="3"/>
  <c r="V45" i="3"/>
  <c r="V46" i="3"/>
  <c r="V36" i="3"/>
  <c r="V23" i="3"/>
  <c r="V14" i="3"/>
  <c r="V25" i="3"/>
  <c r="V37" i="3"/>
  <c r="V47" i="3"/>
  <c r="F6" i="3"/>
  <c r="J6" i="3"/>
  <c r="N14" i="3"/>
  <c r="T1" i="3"/>
  <c r="R45" i="3"/>
  <c r="R46" i="3"/>
  <c r="N45" i="3"/>
  <c r="N46" i="3"/>
  <c r="L45" i="3"/>
  <c r="X45" i="3"/>
  <c r="H45" i="3"/>
  <c r="H46" i="3"/>
  <c r="F45" i="3"/>
  <c r="F46" i="3"/>
  <c r="P44" i="3"/>
  <c r="J44" i="3"/>
  <c r="P43" i="3"/>
  <c r="J43" i="3"/>
  <c r="P42" i="3"/>
  <c r="J42" i="3"/>
  <c r="P41" i="3"/>
  <c r="J41" i="3"/>
  <c r="R36" i="3"/>
  <c r="N36" i="3"/>
  <c r="L36" i="3"/>
  <c r="X36" i="3"/>
  <c r="H36" i="3"/>
  <c r="F36" i="3"/>
  <c r="P35" i="3"/>
  <c r="J35" i="3"/>
  <c r="P34" i="3"/>
  <c r="J34" i="3"/>
  <c r="P33" i="3"/>
  <c r="J33" i="3"/>
  <c r="P32" i="3"/>
  <c r="J32" i="3"/>
  <c r="P31" i="3"/>
  <c r="J31" i="3"/>
  <c r="P30" i="3"/>
  <c r="J30" i="3"/>
  <c r="P29" i="3"/>
  <c r="J29" i="3"/>
  <c r="P28" i="3"/>
  <c r="J28" i="3"/>
  <c r="N23" i="3"/>
  <c r="X23" i="3"/>
  <c r="H23" i="3"/>
  <c r="F23" i="3"/>
  <c r="P22" i="3"/>
  <c r="J22" i="3"/>
  <c r="P21" i="3"/>
  <c r="J21" i="3"/>
  <c r="P20" i="3"/>
  <c r="J20" i="3"/>
  <c r="P19" i="3"/>
  <c r="J19" i="3"/>
  <c r="P18" i="3"/>
  <c r="J18" i="3"/>
  <c r="P17" i="3"/>
  <c r="J17" i="3"/>
  <c r="H14" i="3"/>
  <c r="H25" i="3"/>
  <c r="P13" i="3"/>
  <c r="J13" i="3"/>
  <c r="P12" i="3"/>
  <c r="J12" i="3"/>
  <c r="P11" i="3"/>
  <c r="J11" i="3"/>
  <c r="P10" i="3"/>
  <c r="J10" i="3"/>
  <c r="P9" i="3"/>
  <c r="J9" i="3"/>
  <c r="P8" i="3"/>
  <c r="J8" i="3"/>
  <c r="P7" i="3"/>
  <c r="J7" i="3"/>
  <c r="J5" i="3"/>
  <c r="P23" i="3"/>
  <c r="P36" i="3"/>
  <c r="J23" i="3"/>
  <c r="T36" i="3"/>
  <c r="N25" i="3"/>
  <c r="L46" i="3"/>
  <c r="X46" i="3"/>
  <c r="P46" i="3"/>
  <c r="T46" i="3"/>
  <c r="R37" i="3"/>
  <c r="R47" i="3"/>
  <c r="J36" i="3"/>
  <c r="P45" i="3"/>
  <c r="T45" i="3"/>
  <c r="F14" i="3"/>
  <c r="F25" i="3"/>
  <c r="F37" i="3"/>
  <c r="F47" i="3"/>
  <c r="F50" i="3"/>
  <c r="X14" i="3"/>
  <c r="T5" i="3"/>
  <c r="P5" i="3"/>
  <c r="H37" i="3"/>
  <c r="J46" i="3"/>
  <c r="P25" i="3"/>
  <c r="N37" i="3"/>
  <c r="P14" i="3"/>
  <c r="J45" i="3"/>
  <c r="J25" i="3"/>
  <c r="J14" i="3"/>
  <c r="L37" i="3"/>
  <c r="P37" i="3"/>
  <c r="X25" i="3"/>
  <c r="N47" i="3"/>
  <c r="H47" i="3"/>
  <c r="J37" i="3"/>
  <c r="L47" i="3"/>
  <c r="T37" i="3"/>
  <c r="X37" i="3"/>
  <c r="J47" i="3"/>
  <c r="H50" i="3"/>
  <c r="P47" i="3"/>
  <c r="N50" i="3"/>
  <c r="L50" i="3"/>
  <c r="X47" i="3"/>
  <c r="T47" i="3"/>
  <c r="H10" i="2"/>
  <c r="H16" i="1"/>
  <c r="H15" i="1"/>
  <c r="H14" i="1"/>
  <c r="H13" i="1"/>
  <c r="H12" i="1"/>
  <c r="H11" i="1"/>
  <c r="V146" i="2"/>
  <c r="V145" i="2"/>
  <c r="V144" i="2"/>
  <c r="V142" i="2"/>
  <c r="V135" i="2"/>
  <c r="V134" i="2"/>
  <c r="V133" i="2"/>
  <c r="V132" i="2"/>
  <c r="V130" i="2"/>
  <c r="V129" i="2"/>
  <c r="V128" i="2"/>
  <c r="V127" i="2"/>
  <c r="V126" i="2"/>
  <c r="V125" i="2"/>
  <c r="V124" i="2"/>
  <c r="V121" i="2"/>
  <c r="V120" i="2"/>
  <c r="V119" i="2"/>
  <c r="V116" i="2"/>
  <c r="V115" i="2"/>
  <c r="V114" i="2"/>
  <c r="V113" i="2"/>
  <c r="V110" i="2"/>
  <c r="V109" i="2"/>
  <c r="V108" i="2"/>
  <c r="V107" i="2"/>
  <c r="V106" i="2"/>
  <c r="V105" i="2"/>
  <c r="V104" i="2"/>
  <c r="V103" i="2"/>
  <c r="V102" i="2"/>
  <c r="V99" i="2"/>
  <c r="V98" i="2"/>
  <c r="V97" i="2"/>
  <c r="V96" i="2"/>
  <c r="V95" i="2"/>
  <c r="V94" i="2"/>
  <c r="V91" i="2"/>
  <c r="V90" i="2"/>
  <c r="V89" i="2"/>
  <c r="V88" i="2"/>
  <c r="V87" i="2"/>
  <c r="V86" i="2"/>
  <c r="V85" i="2"/>
  <c r="V84" i="2"/>
  <c r="V82" i="2"/>
  <c r="V81" i="2"/>
  <c r="V80" i="2"/>
  <c r="V79" i="2"/>
  <c r="V78" i="2"/>
  <c r="V77" i="2"/>
  <c r="V72" i="2"/>
  <c r="V71" i="2"/>
  <c r="V70" i="2"/>
  <c r="V69" i="2"/>
  <c r="V68" i="2"/>
  <c r="V67" i="2"/>
  <c r="V63" i="2"/>
  <c r="V62" i="2"/>
  <c r="V61" i="2"/>
  <c r="V60" i="2"/>
  <c r="V58" i="2"/>
  <c r="V55" i="2"/>
  <c r="V54" i="2"/>
  <c r="V51" i="2"/>
  <c r="V50" i="2"/>
  <c r="V49" i="2"/>
  <c r="V48" i="2"/>
  <c r="V47" i="2"/>
  <c r="V42" i="2"/>
  <c r="V41" i="2"/>
  <c r="V40" i="2"/>
  <c r="V39" i="2"/>
  <c r="V36" i="2"/>
  <c r="V35" i="2"/>
  <c r="V34" i="2"/>
  <c r="V33" i="2"/>
  <c r="V29" i="2"/>
  <c r="V28" i="2"/>
  <c r="V27" i="2"/>
  <c r="V26" i="2"/>
  <c r="V25" i="2"/>
  <c r="V22" i="2"/>
  <c r="V21" i="2"/>
  <c r="V20" i="2"/>
  <c r="V17" i="2"/>
  <c r="V16" i="2"/>
  <c r="V15" i="2"/>
  <c r="V14" i="2"/>
  <c r="V13" i="2"/>
  <c r="V10" i="2"/>
  <c r="V9" i="2"/>
  <c r="V8" i="2"/>
  <c r="V7" i="2"/>
  <c r="V6" i="2"/>
  <c r="T153" i="2"/>
  <c r="N152" i="2"/>
  <c r="V1" i="2"/>
  <c r="R146" i="2"/>
  <c r="L146" i="2"/>
  <c r="R145" i="2"/>
  <c r="L145" i="2"/>
  <c r="R144" i="2"/>
  <c r="L144" i="2"/>
  <c r="T143" i="2"/>
  <c r="P143" i="2"/>
  <c r="P147" i="2"/>
  <c r="N143" i="2"/>
  <c r="N147" i="2"/>
  <c r="N148" i="2"/>
  <c r="J143" i="2"/>
  <c r="J147" i="2"/>
  <c r="J148" i="2"/>
  <c r="H143" i="2"/>
  <c r="H147" i="2"/>
  <c r="H148" i="2"/>
  <c r="R142" i="2"/>
  <c r="L142" i="2"/>
  <c r="T136" i="2"/>
  <c r="P136" i="2"/>
  <c r="N136" i="2"/>
  <c r="J136" i="2"/>
  <c r="H136" i="2"/>
  <c r="R135" i="2"/>
  <c r="L135" i="2"/>
  <c r="R134" i="2"/>
  <c r="L134" i="2"/>
  <c r="R133" i="2"/>
  <c r="L133" i="2"/>
  <c r="T131" i="2"/>
  <c r="P131" i="2"/>
  <c r="N131" i="2"/>
  <c r="J131" i="2"/>
  <c r="H131" i="2"/>
  <c r="R130" i="2"/>
  <c r="L130" i="2"/>
  <c r="R129" i="2"/>
  <c r="L129" i="2"/>
  <c r="R128" i="2"/>
  <c r="L128" i="2"/>
  <c r="R127" i="2"/>
  <c r="L127" i="2"/>
  <c r="R126" i="2"/>
  <c r="L126" i="2"/>
  <c r="R125" i="2"/>
  <c r="L125" i="2"/>
  <c r="R124" i="2"/>
  <c r="L124" i="2"/>
  <c r="T122" i="2"/>
  <c r="P122" i="2"/>
  <c r="N122" i="2"/>
  <c r="J122" i="2"/>
  <c r="H122" i="2"/>
  <c r="R121" i="2"/>
  <c r="L121" i="2"/>
  <c r="R120" i="2"/>
  <c r="L120" i="2"/>
  <c r="R119" i="2"/>
  <c r="L119" i="2"/>
  <c r="T117" i="2"/>
  <c r="P117" i="2"/>
  <c r="N117" i="2"/>
  <c r="J117" i="2"/>
  <c r="H117" i="2"/>
  <c r="R116" i="2"/>
  <c r="L116" i="2"/>
  <c r="R115" i="2"/>
  <c r="L115" i="2"/>
  <c r="R114" i="2"/>
  <c r="L114" i="2"/>
  <c r="R113" i="2"/>
  <c r="L113" i="2"/>
  <c r="T111" i="2"/>
  <c r="P111" i="2"/>
  <c r="N111" i="2"/>
  <c r="J111" i="2"/>
  <c r="H111" i="2"/>
  <c r="R110" i="2"/>
  <c r="L110" i="2"/>
  <c r="R109" i="2"/>
  <c r="L109" i="2"/>
  <c r="R108" i="2"/>
  <c r="L108" i="2"/>
  <c r="R107" i="2"/>
  <c r="L107" i="2"/>
  <c r="R106" i="2"/>
  <c r="L106" i="2"/>
  <c r="R105" i="2"/>
  <c r="L105" i="2"/>
  <c r="R104" i="2"/>
  <c r="L104" i="2"/>
  <c r="R103" i="2"/>
  <c r="L103" i="2"/>
  <c r="R102" i="2"/>
  <c r="L102" i="2"/>
  <c r="T100" i="2"/>
  <c r="P100" i="2"/>
  <c r="N100" i="2"/>
  <c r="J100" i="2"/>
  <c r="H100" i="2"/>
  <c r="R99" i="2"/>
  <c r="L99" i="2"/>
  <c r="R98" i="2"/>
  <c r="L98" i="2"/>
  <c r="R97" i="2"/>
  <c r="L97" i="2"/>
  <c r="R96" i="2"/>
  <c r="L96" i="2"/>
  <c r="R95" i="2"/>
  <c r="L95" i="2"/>
  <c r="R94" i="2"/>
  <c r="L94" i="2"/>
  <c r="T92" i="2"/>
  <c r="P92" i="2"/>
  <c r="N92" i="2"/>
  <c r="J92" i="2"/>
  <c r="H92" i="2"/>
  <c r="R91" i="2"/>
  <c r="L91" i="2"/>
  <c r="R90" i="2"/>
  <c r="L90" i="2"/>
  <c r="R89" i="2"/>
  <c r="L89" i="2"/>
  <c r="R88" i="2"/>
  <c r="L88" i="2"/>
  <c r="R87" i="2"/>
  <c r="L87" i="2"/>
  <c r="R86" i="2"/>
  <c r="L86" i="2"/>
  <c r="R85" i="2"/>
  <c r="L85" i="2"/>
  <c r="T83" i="2"/>
  <c r="N83" i="2"/>
  <c r="V83" i="2"/>
  <c r="P83" i="2"/>
  <c r="J83" i="2"/>
  <c r="H83" i="2"/>
  <c r="R81" i="2"/>
  <c r="L81" i="2"/>
  <c r="R80" i="2"/>
  <c r="L80" i="2"/>
  <c r="R79" i="2"/>
  <c r="L79" i="2"/>
  <c r="R78" i="2"/>
  <c r="L78" i="2"/>
  <c r="R77" i="2"/>
  <c r="L77" i="2"/>
  <c r="T73" i="2"/>
  <c r="P73" i="2"/>
  <c r="N73" i="2"/>
  <c r="J73" i="2"/>
  <c r="H73" i="2"/>
  <c r="R72" i="2"/>
  <c r="L72" i="2"/>
  <c r="R71" i="2"/>
  <c r="L71" i="2"/>
  <c r="R70" i="2"/>
  <c r="L70" i="2"/>
  <c r="R69" i="2"/>
  <c r="L69" i="2"/>
  <c r="R68" i="2"/>
  <c r="L68" i="2"/>
  <c r="R67" i="2"/>
  <c r="L67" i="2"/>
  <c r="T64" i="2"/>
  <c r="N64" i="2"/>
  <c r="V64" i="2"/>
  <c r="P64" i="2"/>
  <c r="J64" i="2"/>
  <c r="H64" i="2"/>
  <c r="R63" i="2"/>
  <c r="L63" i="2"/>
  <c r="R62" i="2"/>
  <c r="L62" i="2"/>
  <c r="R61" i="2"/>
  <c r="L61" i="2"/>
  <c r="R60" i="2"/>
  <c r="L60" i="2"/>
  <c r="R58" i="2"/>
  <c r="L58" i="2"/>
  <c r="T56" i="2"/>
  <c r="P56" i="2"/>
  <c r="N56" i="2"/>
  <c r="J56" i="2"/>
  <c r="H56" i="2"/>
  <c r="R55" i="2"/>
  <c r="L55" i="2"/>
  <c r="R54" i="2"/>
  <c r="L54" i="2"/>
  <c r="T52" i="2"/>
  <c r="P52" i="2"/>
  <c r="N52" i="2"/>
  <c r="R52" i="2"/>
  <c r="J52" i="2"/>
  <c r="H52" i="2"/>
  <c r="R51" i="2"/>
  <c r="L51" i="2"/>
  <c r="R50" i="2"/>
  <c r="L50" i="2"/>
  <c r="R49" i="2"/>
  <c r="L49" i="2"/>
  <c r="R48" i="2"/>
  <c r="L48" i="2"/>
  <c r="R47" i="2"/>
  <c r="L47" i="2"/>
  <c r="T43" i="2"/>
  <c r="P43" i="2"/>
  <c r="N43" i="2"/>
  <c r="J43" i="2"/>
  <c r="H43" i="2"/>
  <c r="R42" i="2"/>
  <c r="L42" i="2"/>
  <c r="R41" i="2"/>
  <c r="L41" i="2"/>
  <c r="R40" i="2"/>
  <c r="L40" i="2"/>
  <c r="R39" i="2"/>
  <c r="L39" i="2"/>
  <c r="T37" i="2"/>
  <c r="P37" i="2"/>
  <c r="N37" i="2"/>
  <c r="J37" i="2"/>
  <c r="H37" i="2"/>
  <c r="H44" i="2"/>
  <c r="R36" i="2"/>
  <c r="L36" i="2"/>
  <c r="R35" i="2"/>
  <c r="L35" i="2"/>
  <c r="R34" i="2"/>
  <c r="L34" i="2"/>
  <c r="R33" i="2"/>
  <c r="L33" i="2"/>
  <c r="T30" i="2"/>
  <c r="N30" i="2"/>
  <c r="V30" i="2"/>
  <c r="P30" i="2"/>
  <c r="J30" i="2"/>
  <c r="H30" i="2"/>
  <c r="R29" i="2"/>
  <c r="L29" i="2"/>
  <c r="R28" i="2"/>
  <c r="L28" i="2"/>
  <c r="R27" i="2"/>
  <c r="L27" i="2"/>
  <c r="R26" i="2"/>
  <c r="L26" i="2"/>
  <c r="R25" i="2"/>
  <c r="L25" i="2"/>
  <c r="T23" i="2"/>
  <c r="P23" i="2"/>
  <c r="N23" i="2"/>
  <c r="J23" i="2"/>
  <c r="H23" i="2"/>
  <c r="R22" i="2"/>
  <c r="L22" i="2"/>
  <c r="R21" i="2"/>
  <c r="L21" i="2"/>
  <c r="R20" i="2"/>
  <c r="L20" i="2"/>
  <c r="T18" i="2"/>
  <c r="P18" i="2"/>
  <c r="N18" i="2"/>
  <c r="J18" i="2"/>
  <c r="H18" i="2"/>
  <c r="R17" i="2"/>
  <c r="L17" i="2"/>
  <c r="R16" i="2"/>
  <c r="L16" i="2"/>
  <c r="R15" i="2"/>
  <c r="L15" i="2"/>
  <c r="R14" i="2"/>
  <c r="L14" i="2"/>
  <c r="R13" i="2"/>
  <c r="L13" i="2"/>
  <c r="T11" i="2"/>
  <c r="P11" i="2"/>
  <c r="N11" i="2"/>
  <c r="J11" i="2"/>
  <c r="H11" i="2"/>
  <c r="R10" i="2"/>
  <c r="L10" i="2"/>
  <c r="R9" i="2"/>
  <c r="L9" i="2"/>
  <c r="R8" i="2"/>
  <c r="L8" i="2"/>
  <c r="R7" i="2"/>
  <c r="L7" i="2"/>
  <c r="R6" i="2"/>
  <c r="L6" i="2"/>
  <c r="L23" i="2"/>
  <c r="N57" i="2"/>
  <c r="L56" i="2"/>
  <c r="R73" i="2"/>
  <c r="H137" i="2"/>
  <c r="L92" i="2"/>
  <c r="L111" i="2"/>
  <c r="L122" i="2"/>
  <c r="R136" i="2"/>
  <c r="R18" i="2"/>
  <c r="R43" i="2"/>
  <c r="H57" i="2"/>
  <c r="H65" i="2"/>
  <c r="H74" i="2"/>
  <c r="L64" i="2"/>
  <c r="V73" i="2"/>
  <c r="R111" i="2"/>
  <c r="V11" i="2"/>
  <c r="L131" i="2"/>
  <c r="V43" i="2"/>
  <c r="J57" i="2"/>
  <c r="V23" i="2"/>
  <c r="L43" i="2"/>
  <c r="L143" i="2"/>
  <c r="P44" i="2"/>
  <c r="V117" i="2"/>
  <c r="T44" i="2"/>
  <c r="T57" i="2"/>
  <c r="V57" i="2"/>
  <c r="V52" i="2"/>
  <c r="L30" i="2"/>
  <c r="R56" i="2"/>
  <c r="V100" i="2"/>
  <c r="R131" i="2"/>
  <c r="L73" i="2"/>
  <c r="L18" i="2"/>
  <c r="V18" i="2"/>
  <c r="R30" i="2"/>
  <c r="J44" i="2"/>
  <c r="P57" i="2"/>
  <c r="R57" i="2"/>
  <c r="V56" i="2"/>
  <c r="R64" i="2"/>
  <c r="V92" i="2"/>
  <c r="V111" i="2"/>
  <c r="R117" i="2"/>
  <c r="T137" i="2"/>
  <c r="V131" i="2"/>
  <c r="L136" i="2"/>
  <c r="V136" i="2"/>
  <c r="T147" i="2"/>
  <c r="V143" i="2"/>
  <c r="L117" i="2"/>
  <c r="L100" i="2"/>
  <c r="R92" i="2"/>
  <c r="P137" i="2"/>
  <c r="J137" i="2"/>
  <c r="L137" i="2"/>
  <c r="R11" i="2"/>
  <c r="R122" i="2"/>
  <c r="V122" i="2"/>
  <c r="N137" i="2"/>
  <c r="R100" i="2"/>
  <c r="N44" i="2"/>
  <c r="V37" i="2"/>
  <c r="R23" i="2"/>
  <c r="L11" i="2"/>
  <c r="P148" i="2"/>
  <c r="R148" i="2"/>
  <c r="R147" i="2"/>
  <c r="L148" i="2"/>
  <c r="N65" i="2"/>
  <c r="R37" i="2"/>
  <c r="L52" i="2"/>
  <c r="R83" i="2"/>
  <c r="L147" i="2"/>
  <c r="L37" i="2"/>
  <c r="L83" i="2"/>
  <c r="R143" i="2"/>
  <c r="H138" i="2"/>
  <c r="H149" i="2"/>
  <c r="H153" i="2"/>
  <c r="P65" i="2"/>
  <c r="L57" i="2"/>
  <c r="J65" i="2"/>
  <c r="J74" i="2"/>
  <c r="L74" i="2"/>
  <c r="T65" i="2"/>
  <c r="T74" i="2"/>
  <c r="T138" i="2"/>
  <c r="V44" i="2"/>
  <c r="T148" i="2"/>
  <c r="V148" i="2"/>
  <c r="V147" i="2"/>
  <c r="L44" i="2"/>
  <c r="R44" i="2"/>
  <c r="V137" i="2"/>
  <c r="R137" i="2"/>
  <c r="N74" i="2"/>
  <c r="P74" i="2"/>
  <c r="R65" i="2"/>
  <c r="H8" i="1"/>
  <c r="H7" i="1"/>
  <c r="V65" i="2"/>
  <c r="J138" i="2"/>
  <c r="L65" i="2"/>
  <c r="T149" i="2"/>
  <c r="N138" i="2"/>
  <c r="N149" i="2"/>
  <c r="N153" i="2"/>
  <c r="V74" i="2"/>
  <c r="L138" i="2"/>
  <c r="J149" i="2"/>
  <c r="R74" i="2"/>
  <c r="P138" i="2"/>
  <c r="H9" i="1"/>
  <c r="I16" i="1"/>
  <c r="I15" i="1"/>
  <c r="I14" i="1"/>
  <c r="I13" i="1"/>
  <c r="I12" i="1"/>
  <c r="I11" i="1"/>
  <c r="I9" i="1"/>
  <c r="I8" i="1"/>
  <c r="I7" i="1"/>
  <c r="F29" i="1"/>
  <c r="F28" i="1"/>
  <c r="L149" i="2"/>
  <c r="L153" i="2"/>
  <c r="J153" i="2"/>
  <c r="R138" i="2"/>
  <c r="P149" i="2"/>
  <c r="B31" i="1"/>
  <c r="F24" i="1"/>
  <c r="E24" i="1"/>
  <c r="F18" i="1"/>
  <c r="E18" i="1"/>
  <c r="B9" i="1"/>
  <c r="R149" i="2"/>
  <c r="R153" i="2"/>
  <c r="P153" i="2"/>
  <c r="B12" i="1"/>
</calcChain>
</file>

<file path=xl/sharedStrings.xml><?xml version="1.0" encoding="utf-8"?>
<sst xmlns="http://schemas.openxmlformats.org/spreadsheetml/2006/main" count="355" uniqueCount="305">
  <si>
    <t>TEXTILE CENTER DASHBOARD</t>
  </si>
  <si>
    <t>Cash &amp; Investments-Operating</t>
  </si>
  <si>
    <t>YTD Program Statistics</t>
  </si>
  <si>
    <t xml:space="preserve"> </t>
  </si>
  <si>
    <t>ATTENDANCE</t>
  </si>
  <si>
    <t>FY20</t>
  </si>
  <si>
    <t>FY19</t>
  </si>
  <si>
    <t>FY20 YTD</t>
  </si>
  <si>
    <t>FY19 YTD</t>
  </si>
  <si>
    <t>Building Attendance</t>
  </si>
  <si>
    <t>Investment-Ed Jones</t>
  </si>
  <si>
    <t>Exhibition Attendance</t>
  </si>
  <si>
    <t>Total Cash &amp; Investments-Operating</t>
  </si>
  <si>
    <t>Library Attendance</t>
  </si>
  <si>
    <t>Membership</t>
  </si>
  <si>
    <t>Line of Credit Balance</t>
  </si>
  <si>
    <t xml:space="preserve">     - New Members</t>
  </si>
  <si>
    <t># Months Cash On Hand Sunrise Bank</t>
  </si>
  <si>
    <t xml:space="preserve">     - Renewing Members</t>
  </si>
  <si>
    <t xml:space="preserve">     - Reacquired Members</t>
  </si>
  <si>
    <t xml:space="preserve">     - Sustaining Members</t>
  </si>
  <si>
    <t xml:space="preserve">     - Business Memberships </t>
  </si>
  <si>
    <t>Permanently Restricted Funds Balance</t>
  </si>
  <si>
    <t xml:space="preserve">     - Guild Memberships</t>
  </si>
  <si>
    <t>Joan Mondale Gallery Endowment</t>
  </si>
  <si>
    <t>ONLINE / SOCIAL MEDIA</t>
  </si>
  <si>
    <t>Temporarily Restricted Funds Balance</t>
  </si>
  <si>
    <t>Website Unique Users - textilecentermn.org</t>
  </si>
  <si>
    <t>Facebook Followers</t>
  </si>
  <si>
    <t>Vanguard-Temp Restricted</t>
  </si>
  <si>
    <t>Twitter Followers</t>
  </si>
  <si>
    <t>Instagram Followers</t>
  </si>
  <si>
    <t>Temporarty Restricted Grants:</t>
  </si>
  <si>
    <t>Jerome (FY18 2-yr award)</t>
  </si>
  <si>
    <t>EDUCATION</t>
  </si>
  <si>
    <t>Minnesota Historical Society</t>
  </si>
  <si>
    <t>Core Adult Classes Capacity Sold</t>
  </si>
  <si>
    <t>Butler Family Foundation</t>
  </si>
  <si>
    <t>National Programs Capacity Sold</t>
  </si>
  <si>
    <t>McKnight - Gen Op</t>
  </si>
  <si>
    <t>Youth Summer Camps - Season to date</t>
  </si>
  <si>
    <t>Aroha</t>
  </si>
  <si>
    <t>Field Trips</t>
  </si>
  <si>
    <t>McKnight - Fellowships</t>
  </si>
  <si>
    <t>Library Classes</t>
  </si>
  <si>
    <t>Total Temp Restricted Grants</t>
  </si>
  <si>
    <t>Good Family Foundation</t>
  </si>
  <si>
    <t>AS OF JUNE 30, 2019</t>
  </si>
  <si>
    <t>June Program Statistics</t>
  </si>
  <si>
    <t>YTD Budget</t>
  </si>
  <si>
    <t>Annual Budget</t>
  </si>
  <si>
    <t>Ordinary Income/Expense</t>
  </si>
  <si>
    <t>Income</t>
  </si>
  <si>
    <t>4000 · Corp, Fdtn &amp;  Gov't  Support</t>
  </si>
  <si>
    <t>4010 · Corporate Contributions Unres</t>
  </si>
  <si>
    <t>4020 · Foundation Contributions Unres</t>
  </si>
  <si>
    <t>4030 · Government Grants Unrestricted</t>
  </si>
  <si>
    <t>7099 · Released from Restriction</t>
  </si>
  <si>
    <t>Total 4000 · Corp, Fdtn &amp;  Gov't  Support</t>
  </si>
  <si>
    <t>4050 · Individual Support</t>
  </si>
  <si>
    <t>4054 · Annual Fund</t>
  </si>
  <si>
    <t>4055 · Designated Gifts</t>
  </si>
  <si>
    <t>4055.2 · Tour Donations</t>
  </si>
  <si>
    <t>4056 · Memorial Gifts</t>
  </si>
  <si>
    <t>4057 · Other Individual Support</t>
  </si>
  <si>
    <t>Total 4050 · Individual Support</t>
  </si>
  <si>
    <t>4100 · Membership Income</t>
  </si>
  <si>
    <t>4110 · Individual Membership</t>
  </si>
  <si>
    <t>4120 · Guild Membership</t>
  </si>
  <si>
    <t>4130 · Business Membership</t>
  </si>
  <si>
    <t>Total 4100 · Membership Income</t>
  </si>
  <si>
    <t>4300 · Earned Income</t>
  </si>
  <si>
    <t>4310 · Rental Income</t>
  </si>
  <si>
    <t>4320 · Gallery Income - Sales</t>
  </si>
  <si>
    <t>4325 · Gallery Income - Call For Entry</t>
  </si>
  <si>
    <t>4330 · Advertising Income</t>
  </si>
  <si>
    <t>4340 · Library Income</t>
  </si>
  <si>
    <t>Total 4300 · Earned Income</t>
  </si>
  <si>
    <t>4350 · Education Income</t>
  </si>
  <si>
    <t>4350.1 · Adult Education</t>
  </si>
  <si>
    <t>4351.1 · Adult Classes  (On-site)</t>
  </si>
  <si>
    <t>4351.2 · National Programming</t>
  </si>
  <si>
    <t>4351.3 · Adult Outreach</t>
  </si>
  <si>
    <t>4355 · Adult Group Experience (On-site</t>
  </si>
  <si>
    <t>Total 4350.1 · Adult Education</t>
  </si>
  <si>
    <t>4350.2 · Youth Education</t>
  </si>
  <si>
    <t>4352.1 · Youth Classes (On-Site)</t>
  </si>
  <si>
    <t>4352.2 · Youth Summer Camp</t>
  </si>
  <si>
    <t>4352.3 · Youth Outreach</t>
  </si>
  <si>
    <t>4353 · Youth Guild Kit Subscriptions</t>
  </si>
  <si>
    <t>Total 4350.2 · Youth Education</t>
  </si>
  <si>
    <t>Total 4350 · Education Income</t>
  </si>
  <si>
    <t>4600 · Special Event Income</t>
  </si>
  <si>
    <t>4620 · Garage Sale</t>
  </si>
  <si>
    <t>4621 · Garage Sale - Sponsorships</t>
  </si>
  <si>
    <t>4622 · Garage Sale-Preview Sale Entry</t>
  </si>
  <si>
    <t>4623 · Garage Sale - Entry</t>
  </si>
  <si>
    <t>4624 · Garage Sale - Sales</t>
  </si>
  <si>
    <t>4625 · Garage Sale - Expenses</t>
  </si>
  <si>
    <t>Total 4620 · Garage Sale</t>
  </si>
  <si>
    <t>4630 · Other Events</t>
  </si>
  <si>
    <t>4631 · Event Ticket or Other Sales</t>
  </si>
  <si>
    <t>4636 · Event Expenses</t>
  </si>
  <si>
    <t>Total 4630 · Other Events</t>
  </si>
  <si>
    <t>Total 4600 · Special Event Income</t>
  </si>
  <si>
    <t>4800 · Miscellaneous Income</t>
  </si>
  <si>
    <t>4900 · Shop Sales</t>
  </si>
  <si>
    <t>4910 · Artists Sales</t>
  </si>
  <si>
    <t>4920 · Inventory Artist Supplies Sales</t>
  </si>
  <si>
    <t>4940 · Inventory Sales</t>
  </si>
  <si>
    <t>4985 · Call for Entry</t>
  </si>
  <si>
    <t>Total 4900 · Shop Sales</t>
  </si>
  <si>
    <t>Total Income</t>
  </si>
  <si>
    <t>Cost of Goods Sold</t>
  </si>
  <si>
    <t>4992 · Artist Payments - Gallery</t>
  </si>
  <si>
    <t>4993 · Artist Payments - Shop</t>
  </si>
  <si>
    <t>4994 · Cost of Goods Sold</t>
  </si>
  <si>
    <t>4995 · Discount Coupons</t>
  </si>
  <si>
    <t>4996 · Inventory adjustments</t>
  </si>
  <si>
    <t>4997 · Inbound Freight</t>
  </si>
  <si>
    <t>Total COGS</t>
  </si>
  <si>
    <t>Gross Profit</t>
  </si>
  <si>
    <t>Expense</t>
  </si>
  <si>
    <t>5000 · Payroll</t>
  </si>
  <si>
    <t>5010 · Wages</t>
  </si>
  <si>
    <t>5020 · Benefits</t>
  </si>
  <si>
    <t>5030 · Employer FICA Tax</t>
  </si>
  <si>
    <t>5040 · Unemployment - State</t>
  </si>
  <si>
    <t>5050 · Worker's Comp Insurance</t>
  </si>
  <si>
    <t>5720 · Payroll Expenses-Hrly PTO</t>
  </si>
  <si>
    <t>Total 5000 · Payroll</t>
  </si>
  <si>
    <t>5100 · Professional Fees</t>
  </si>
  <si>
    <t>5110 · Accounting Fees</t>
  </si>
  <si>
    <t>5130 · Development Consulting Fees</t>
  </si>
  <si>
    <t>5150 · Payroll Processing Fees</t>
  </si>
  <si>
    <t>5160 · Graphic &amp; Web Design Services</t>
  </si>
  <si>
    <t>5180 · Program Professional Services</t>
  </si>
  <si>
    <t>5185 · Diversity Advocacy</t>
  </si>
  <si>
    <t>5190 · Other Professional Services</t>
  </si>
  <si>
    <t>Total 5100 · Professional Fees</t>
  </si>
  <si>
    <t>5200 · Program Expenses</t>
  </si>
  <si>
    <t>5210 · Program Supplies</t>
  </si>
  <si>
    <t>5215 · Youth Guild Kits Expense</t>
  </si>
  <si>
    <t>5240 · Awards &amp; Prizes</t>
  </si>
  <si>
    <t>5250 · Fellowships / Mentorships</t>
  </si>
  <si>
    <t>5270 · Instructors</t>
  </si>
  <si>
    <t>5280 · Jury Expense</t>
  </si>
  <si>
    <t>Total 5200 · Program Expenses</t>
  </si>
  <si>
    <t>5300 · Facilities and Equipment</t>
  </si>
  <si>
    <t>5315 · Utilities</t>
  </si>
  <si>
    <t>5320 · Telephone/Communications</t>
  </si>
  <si>
    <t>5325 · Repairs, Maint. &amp; Supplies</t>
  </si>
  <si>
    <t>5340 · Computer Systems &amp; Accessories</t>
  </si>
  <si>
    <t>5345 · Furniture &amp; Equipment</t>
  </si>
  <si>
    <t>5355 · Property Taxes</t>
  </si>
  <si>
    <t>5360 · Depreciation Expense</t>
  </si>
  <si>
    <t>5370 · Parking</t>
  </si>
  <si>
    <t>5375 · Garden Expense</t>
  </si>
  <si>
    <t>Total 5300 · Facilities and Equipment</t>
  </si>
  <si>
    <t>5400 · Operations</t>
  </si>
  <si>
    <t>5405 · Postage &amp; Shipping</t>
  </si>
  <si>
    <t>5410 · Office Supplies</t>
  </si>
  <si>
    <t>5415 · Return Shipping</t>
  </si>
  <si>
    <t>5430 · Printing</t>
  </si>
  <si>
    <t>Total 5400 · Operations</t>
  </si>
  <si>
    <t>5500 · Transportation Costs</t>
  </si>
  <si>
    <t>5510 · Mileage</t>
  </si>
  <si>
    <t>5520 · Other Transportation Costs</t>
  </si>
  <si>
    <t>5530 · Lodging</t>
  </si>
  <si>
    <t>Total 5500 · Transportation Costs</t>
  </si>
  <si>
    <t>5600 · Other Expenses</t>
  </si>
  <si>
    <t>5610 · Prof Memberships &amp; Publications</t>
  </si>
  <si>
    <t>5615 · Staff Development</t>
  </si>
  <si>
    <t>5620 · Advertising &amp; Promotion</t>
  </si>
  <si>
    <t>5630 · Hospitality</t>
  </si>
  <si>
    <t>5640 · Insurance</t>
  </si>
  <si>
    <t>5650 · Volunteer Recognition</t>
  </si>
  <si>
    <t>5660 · Gift Certificate Gifts</t>
  </si>
  <si>
    <t>Total 5600 · Other Expenses</t>
  </si>
  <si>
    <t>5700 · Business Expenses</t>
  </si>
  <si>
    <t>5715 · Bank &amp; Credit Card Fees</t>
  </si>
  <si>
    <t>5716 · Interest Expense</t>
  </si>
  <si>
    <t>5730 · Filing Fees</t>
  </si>
  <si>
    <t>Total 5700 · Business Expenses</t>
  </si>
  <si>
    <t>Total Expense</t>
  </si>
  <si>
    <t>Net Ordinary Income</t>
  </si>
  <si>
    <t>Other Income/Expense</t>
  </si>
  <si>
    <t>Other Income</t>
  </si>
  <si>
    <t>4025 · Capital Campaign - 2016-2019</t>
  </si>
  <si>
    <t>4028 · Capital Campaign - Indiv Unres</t>
  </si>
  <si>
    <t>Total 4025 · Capital Campaign - 2016-2019</t>
  </si>
  <si>
    <t>9100 · Savings Account Interest Income</t>
  </si>
  <si>
    <t>9200 · OperatingUnrealized Gain/(Loss)</t>
  </si>
  <si>
    <t>9310 · Mondale Investment Gain/(Loss)</t>
  </si>
  <si>
    <t>Total Other Income</t>
  </si>
  <si>
    <t>Net Other Income</t>
  </si>
  <si>
    <t>Net Income</t>
  </si>
  <si>
    <t>YTD Actual</t>
  </si>
  <si>
    <t>% of YTD Budget</t>
  </si>
  <si>
    <t>% of Annual Budget</t>
  </si>
  <si>
    <t>June Actual</t>
  </si>
  <si>
    <t>June Budget</t>
  </si>
  <si>
    <t>% of June Budget</t>
  </si>
  <si>
    <t>4035 · Restricted Grants - Future Years</t>
  </si>
  <si>
    <t>4035 · Corp/Fdtn Restricted Grants - Current Year</t>
  </si>
  <si>
    <t>Net Income (Pre Audit)</t>
  </si>
  <si>
    <t>% of Budget</t>
  </si>
  <si>
    <t>FY19 YTD Actual</t>
  </si>
  <si>
    <t>% FY19-FY20</t>
  </si>
  <si>
    <t>Jun 30, 19</t>
  </si>
  <si>
    <t>ASSETS</t>
  </si>
  <si>
    <t>Current Assets</t>
  </si>
  <si>
    <t>Checking/Savings</t>
  </si>
  <si>
    <t>1000 · Sunrise Bank Operating (0100)</t>
  </si>
  <si>
    <t>1020 · Sunrise Bank Savings (32100)</t>
  </si>
  <si>
    <t>1300 · Edward Jones Operating</t>
  </si>
  <si>
    <t>1320 · Operating</t>
  </si>
  <si>
    <t>1322 · Mutual Fund (CIBCX)</t>
  </si>
  <si>
    <t>1326 · Money Market</t>
  </si>
  <si>
    <t>Total 1320 · Operating</t>
  </si>
  <si>
    <t>Total 1300 · Edward Jones Operating</t>
  </si>
  <si>
    <t>1400 · Vanguard Group</t>
  </si>
  <si>
    <t>1410 · Mondale Endowment</t>
  </si>
  <si>
    <t>1411 · Prime Money Market (0030)</t>
  </si>
  <si>
    <t>1412.1 · Long Term Bond Index Adm (2022)</t>
  </si>
  <si>
    <t>1417 · Total Intl Stock Ix (0569)</t>
  </si>
  <si>
    <t>1418 · Mid-Cap Index Fund Adm (5859)</t>
  </si>
  <si>
    <t>1419 · 500  Index Fund (0540)</t>
  </si>
  <si>
    <t>1420 · Small-Cap Index Fund (0548)</t>
  </si>
  <si>
    <t>1421 · Total Bond Market Index (0584)</t>
  </si>
  <si>
    <t>Total 1410 · Mondale Endowment</t>
  </si>
  <si>
    <t>Total 1400 · Vanguard Group</t>
  </si>
  <si>
    <t>Total Checking/Savings</t>
  </si>
  <si>
    <t>Accounts Receivable</t>
  </si>
  <si>
    <t>1600 · Accounts Receivable</t>
  </si>
  <si>
    <t>1618 · Campaign Pledges Receivable</t>
  </si>
  <si>
    <t>1630 · Grants Receivable</t>
  </si>
  <si>
    <t>1695 · Allowance for Uncollectable Pl</t>
  </si>
  <si>
    <t>Total Accounts Receivable</t>
  </si>
  <si>
    <t>Other Current Assets</t>
  </si>
  <si>
    <t>1700 · Cash Accounts</t>
  </si>
  <si>
    <t>1701 · Petty Cash</t>
  </si>
  <si>
    <t>1704 · Shop Cash Bag (Cash Register)</t>
  </si>
  <si>
    <t>1705 · Shop Cash (to make change)</t>
  </si>
  <si>
    <t>Total 1700 · Cash Accounts</t>
  </si>
  <si>
    <t>1710 · Inventory Asset</t>
  </si>
  <si>
    <t>17106 · Notions</t>
  </si>
  <si>
    <t>1710 · Inventory Asset - Other</t>
  </si>
  <si>
    <t>Total 1710 · Inventory Asset</t>
  </si>
  <si>
    <t>1750 · Prepaid Expenses</t>
  </si>
  <si>
    <t>1750.2 · Prepaid Insurance</t>
  </si>
  <si>
    <t>1750.3 · Other Prepaid Expenses</t>
  </si>
  <si>
    <t>Total 1750 · Prepaid Expenses</t>
  </si>
  <si>
    <t>1790 · Receipts Not Deposited</t>
  </si>
  <si>
    <t>Total Other Current Assets</t>
  </si>
  <si>
    <t>Total Current Assets</t>
  </si>
  <si>
    <t>Fixed Assets</t>
  </si>
  <si>
    <t>1805 · Computers/Software/Peripherals</t>
  </si>
  <si>
    <t>1810 · Land</t>
  </si>
  <si>
    <t>1811 · Land - 3018 University</t>
  </si>
  <si>
    <t>1815 · Buildings &amp; Improvements</t>
  </si>
  <si>
    <t>1820 · Furniture &amp; Equipment</t>
  </si>
  <si>
    <t>1840 · Library Collectibles</t>
  </si>
  <si>
    <t>1899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</si>
  <si>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</si>
  <si>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</si>
  <si>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</si>
  <si>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</si>
  <si>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</si>
  <si>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</si>
  <si>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</si>
  <si>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</si>
  <si>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</si>
  <si>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20103 · Visa 3643 (Gross)</t>
  </si>
  <si>
    <t>20104 · Visa 1213 - (Reichert) 3635</t>
  </si>
  <si>
    <t>20111 · Visa 0960 (Krumm) 2076</t>
  </si>
  <si>
    <t>Total Credit Cards</t>
  </si>
  <si>
    <t>Other Current Liabilities</t>
  </si>
  <si>
    <t>2100 · Payroll Liabilities</t>
  </si>
  <si>
    <t>2012 · SelectAccount FSA</t>
  </si>
  <si>
    <t>Total 2100 · Payroll Liabilities</t>
  </si>
  <si>
    <t>2116 · Other Tour Payable</t>
  </si>
  <si>
    <t>2120 · Deferred Revenue</t>
  </si>
  <si>
    <t>2124 · Deferred Rev - Gift Certificate</t>
  </si>
  <si>
    <t>2150 · Accrued Payroll</t>
  </si>
  <si>
    <t>2195 · Accrued PTO</t>
  </si>
  <si>
    <t>2200 · Sales Tax Payable</t>
  </si>
  <si>
    <t>2360 · Other Accrued Expenses</t>
  </si>
  <si>
    <t>Total Other Current Liabilities</t>
  </si>
  <si>
    <t>Total Current Liabilities</t>
  </si>
  <si>
    <t>Long Term Liabilities</t>
  </si>
  <si>
    <t>2500 · 3018 University Loan</t>
  </si>
  <si>
    <t>Total Long Term Liabilities</t>
  </si>
  <si>
    <t>Total Liabilities</t>
  </si>
  <si>
    <t>Equity</t>
  </si>
  <si>
    <t>3000 · Opening Net Asset Balance</t>
  </si>
  <si>
    <t>3100 · Unrestricted-Operations</t>
  </si>
  <si>
    <t>3300 · Unrestricted-Property&amp;Equipment</t>
  </si>
  <si>
    <t>3400 · Designated-Prop.&amp;Equip. Reserve</t>
  </si>
  <si>
    <t>3800 · Temp. Restricted Net Assets</t>
  </si>
  <si>
    <t>3900 · Perm. Restricted Net Assets</t>
  </si>
  <si>
    <t>Total Equity</t>
  </si>
  <si>
    <t>TOTAL LIABILITIES &amp; EQUITY</t>
  </si>
  <si>
    <r>
      <t>Sunrise Savings</t>
    </r>
    <r>
      <rPr>
        <i/>
        <sz val="9"/>
        <rFont val="Arial"/>
        <family val="2"/>
      </rPr>
      <t xml:space="preserve"> (Incl $50K McKnight)</t>
    </r>
  </si>
  <si>
    <r>
      <t xml:space="preserve">Sunrise Checking </t>
    </r>
    <r>
      <rPr>
        <i/>
        <sz val="9"/>
        <rFont val="Arial"/>
        <family val="2"/>
      </rPr>
      <t>(Incl $75 McKnight)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</si>
</sst>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\-#,##0"/>
    <numFmt numFmtId="167" formatCode="#,##0%;\-#,##0%"/>
    <numFmt numFmtId="168" formatCode="#,##0.00;\-#,##0.00"/>
  </numFmts>
  <fonts count="15" x14ac:knownFonts="1"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Helvetica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3" fillId="0" borderId="4" xfId="1" applyFont="1" applyFill="1" applyBorder="1"/>
    <xf numFmtId="164" fontId="3" fillId="0" borderId="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4" xfId="1" applyFont="1" applyFill="1" applyBorder="1"/>
    <xf numFmtId="164" fontId="3" fillId="0" borderId="5" xfId="2" applyNumberFormat="1" applyFont="1" applyFill="1" applyBorder="1"/>
    <xf numFmtId="0" fontId="7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8" fillId="0" borderId="4" xfId="1" applyFont="1" applyFill="1" applyBorder="1"/>
    <xf numFmtId="164" fontId="9" fillId="0" borderId="7" xfId="2" applyNumberFormat="1" applyFont="1" applyFill="1" applyBorder="1"/>
    <xf numFmtId="164" fontId="9" fillId="0" borderId="5" xfId="2" applyNumberFormat="1" applyFont="1" applyFill="1" applyBorder="1"/>
    <xf numFmtId="0" fontId="2" fillId="0" borderId="0" xfId="0" applyFont="1" applyFill="1" applyBorder="1"/>
    <xf numFmtId="0" fontId="6" fillId="0" borderId="8" xfId="1" applyFont="1" applyFill="1" applyBorder="1"/>
    <xf numFmtId="165" fontId="3" fillId="0" borderId="9" xfId="2" applyNumberFormat="1" applyFont="1" applyFill="1" applyBorder="1" applyAlignment="1">
      <alignment horizontal="center"/>
    </xf>
    <xf numFmtId="0" fontId="3" fillId="0" borderId="0" xfId="1" applyFont="1" applyFill="1" applyBorder="1"/>
    <xf numFmtId="164" fontId="3" fillId="0" borderId="0" xfId="2" applyNumberFormat="1" applyFont="1" applyFill="1" applyBorder="1"/>
    <xf numFmtId="164" fontId="6" fillId="0" borderId="4" xfId="2" applyNumberFormat="1" applyFont="1" applyFill="1" applyBorder="1"/>
    <xf numFmtId="164" fontId="9" fillId="0" borderId="5" xfId="2" applyNumberFormat="1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1" xfId="0" applyNumberFormat="1" applyFont="1" applyFill="1" applyBorder="1" applyAlignment="1">
      <alignment horizontal="right" indent="1"/>
    </xf>
    <xf numFmtId="164" fontId="8" fillId="0" borderId="4" xfId="2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9" fontId="5" fillId="0" borderId="6" xfId="0" applyNumberFormat="1" applyFont="1" applyFill="1" applyBorder="1" applyAlignment="1">
      <alignment horizontal="right" indent="1"/>
    </xf>
    <xf numFmtId="0" fontId="5" fillId="0" borderId="11" xfId="0" applyFont="1" applyFill="1" applyBorder="1"/>
    <xf numFmtId="164" fontId="3" fillId="0" borderId="2" xfId="2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indent="1"/>
    </xf>
    <xf numFmtId="164" fontId="8" fillId="0" borderId="8" xfId="2" applyNumberFormat="1" applyFont="1" applyFill="1" applyBorder="1"/>
    <xf numFmtId="164" fontId="9" fillId="0" borderId="9" xfId="2" applyNumberFormat="1" applyFont="1" applyFill="1" applyBorder="1"/>
    <xf numFmtId="164" fontId="6" fillId="0" borderId="0" xfId="2" applyNumberFormat="1" applyFont="1" applyFill="1" applyBorder="1"/>
    <xf numFmtId="0" fontId="3" fillId="0" borderId="0" xfId="1" applyFont="1" applyFill="1" applyBorder="1" applyAlignment="1">
      <alignment horizontal="left" indent="2"/>
    </xf>
    <xf numFmtId="164" fontId="8" fillId="0" borderId="0" xfId="1" applyNumberFormat="1" applyFont="1" applyFill="1" applyBorder="1"/>
    <xf numFmtId="0" fontId="2" fillId="0" borderId="0" xfId="0" applyFont="1" applyAlignment="1">
      <alignment vertical="center"/>
    </xf>
    <xf numFmtId="0" fontId="8" fillId="0" borderId="0" xfId="1" quotePrefix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41" fontId="3" fillId="0" borderId="0" xfId="1" applyNumberFormat="1" applyFont="1" applyFill="1" applyBorder="1"/>
    <xf numFmtId="0" fontId="10" fillId="0" borderId="0" xfId="1" applyFont="1" applyFill="1" applyBorder="1" applyAlignment="1">
      <alignment horizontal="left" indent="2"/>
    </xf>
    <xf numFmtId="41" fontId="10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41" fontId="9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49" fontId="11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NumberFormat="1" applyFont="1"/>
    <xf numFmtId="0" fontId="0" fillId="0" borderId="0" xfId="0" applyNumberFormat="1"/>
    <xf numFmtId="49" fontId="11" fillId="0" borderId="0" xfId="0" applyNumberFormat="1" applyFont="1" applyFill="1"/>
    <xf numFmtId="49" fontId="0" fillId="0" borderId="0" xfId="0" applyNumberFormat="1" applyFill="1" applyBorder="1" applyAlignment="1">
      <alignment horizontal="centerContinuous"/>
    </xf>
    <xf numFmtId="0" fontId="0" fillId="0" borderId="0" xfId="0" applyFill="1"/>
    <xf numFmtId="9" fontId="12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0" fillId="0" borderId="15" xfId="0" applyFill="1" applyBorder="1" applyAlignment="1">
      <alignment horizontal="center"/>
    </xf>
    <xf numFmtId="166" fontId="11" fillId="0" borderId="0" xfId="0" applyNumberFormat="1" applyFont="1" applyFill="1"/>
    <xf numFmtId="166" fontId="11" fillId="0" borderId="14" xfId="0" applyNumberFormat="1" applyFont="1" applyFill="1" applyBorder="1"/>
    <xf numFmtId="166" fontId="11" fillId="0" borderId="0" xfId="0" applyNumberFormat="1" applyFont="1" applyFill="1" applyBorder="1"/>
    <xf numFmtId="166" fontId="11" fillId="0" borderId="15" xfId="0" applyNumberFormat="1" applyFont="1" applyFill="1" applyBorder="1"/>
    <xf numFmtId="166" fontId="11" fillId="0" borderId="16" xfId="0" applyNumberFormat="1" applyFont="1" applyFill="1" applyBorder="1"/>
    <xf numFmtId="166" fontId="11" fillId="0" borderId="17" xfId="0" applyNumberFormat="1" applyFont="1" applyFill="1" applyBorder="1"/>
    <xf numFmtId="0" fontId="0" fillId="0" borderId="0" xfId="0" applyNumberFormat="1" applyFill="1"/>
    <xf numFmtId="49" fontId="11" fillId="0" borderId="0" xfId="0" applyNumberFormat="1" applyFont="1" applyAlignment="1">
      <alignment horizontal="center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/>
    </xf>
    <xf numFmtId="167" fontId="11" fillId="0" borderId="0" xfId="0" applyNumberFormat="1" applyFont="1" applyFill="1"/>
    <xf numFmtId="49" fontId="11" fillId="0" borderId="20" xfId="0" applyNumberFormat="1" applyFont="1" applyBorder="1" applyAlignment="1">
      <alignment horizontal="center"/>
    </xf>
    <xf numFmtId="168" fontId="11" fillId="0" borderId="0" xfId="0" applyNumberFormat="1" applyFont="1"/>
    <xf numFmtId="168" fontId="11" fillId="0" borderId="0" xfId="0" applyNumberFormat="1" applyFont="1" applyBorder="1"/>
    <xf numFmtId="168" fontId="11" fillId="0" borderId="15" xfId="0" applyNumberFormat="1" applyFont="1" applyBorder="1"/>
    <xf numFmtId="168" fontId="11" fillId="0" borderId="16" xfId="0" applyNumberFormat="1" applyFont="1" applyBorder="1"/>
    <xf numFmtId="168" fontId="11" fillId="0" borderId="14" xfId="0" applyNumberFormat="1" applyFont="1" applyBorder="1"/>
    <xf numFmtId="168" fontId="11" fillId="0" borderId="17" xfId="0" applyNumberFormat="1" applyFont="1" applyBorder="1"/>
    <xf numFmtId="164" fontId="3" fillId="0" borderId="2" xfId="2" applyNumberFormat="1" applyFont="1" applyFill="1" applyBorder="1"/>
    <xf numFmtId="0" fontId="0" fillId="0" borderId="0" xfId="0" applyFill="1" applyAlignment="1">
      <alignment horizontal="center"/>
    </xf>
    <xf numFmtId="167" fontId="11" fillId="0" borderId="14" xfId="0" applyNumberFormat="1" applyFont="1" applyFill="1" applyBorder="1"/>
    <xf numFmtId="167" fontId="11" fillId="0" borderId="0" xfId="0" applyNumberFormat="1" applyFont="1" applyFill="1" applyBorder="1"/>
    <xf numFmtId="167" fontId="11" fillId="0" borderId="15" xfId="0" applyNumberFormat="1" applyFont="1" applyFill="1" applyBorder="1"/>
    <xf numFmtId="167" fontId="11" fillId="0" borderId="16" xfId="0" applyNumberFormat="1" applyFont="1" applyFill="1" applyBorder="1"/>
    <xf numFmtId="167" fontId="11" fillId="0" borderId="17" xfId="0" applyNumberFormat="1" applyFont="1" applyFill="1" applyBorder="1"/>
    <xf numFmtId="0" fontId="11" fillId="0" borderId="0" xfId="0" applyFont="1" applyFill="1"/>
    <xf numFmtId="0" fontId="11" fillId="0" borderId="0" xfId="0" applyNumberFormat="1" applyFont="1" applyFill="1"/>
    <xf numFmtId="166" fontId="0" fillId="0" borderId="0" xfId="0" applyNumberFormat="1" applyFill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4" fillId="2" borderId="2" xfId="2" applyNumberFormat="1" applyFont="1" applyFill="1" applyBorder="1" applyAlignment="1">
      <alignment horizontal="center"/>
    </xf>
    <xf numFmtId="164" fontId="4" fillId="2" borderId="12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3" xfId="1" applyFont="1" applyFill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457200</xdr:colOff>
          <xdr:row>1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457200</xdr:colOff>
          <xdr:row>1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J34" sqref="J34"/>
    </sheetView>
  </sheetViews>
  <sheetFormatPr baseColWidth="10" defaultColWidth="8.83203125" defaultRowHeight="14" x14ac:dyDescent="0.15"/>
  <cols>
    <col min="1" max="1" width="36.5" style="1" bestFit="1" customWidth="1"/>
    <col min="2" max="2" width="11.33203125" style="1" bestFit="1" customWidth="1"/>
    <col min="3" max="3" width="8.83203125" style="1"/>
    <col min="4" max="4" width="35.5" style="1" customWidth="1"/>
    <col min="5" max="6" width="12.6640625" style="1" customWidth="1"/>
    <col min="7" max="7" width="1.5" style="1" customWidth="1"/>
    <col min="8" max="9" width="12.6640625" style="1" customWidth="1"/>
    <col min="10" max="16384" width="8.83203125" style="1"/>
  </cols>
  <sheetData>
    <row r="1" spans="1:9" ht="16" x14ac:dyDescent="0.2">
      <c r="A1" s="96" t="s">
        <v>0</v>
      </c>
      <c r="B1" s="96"/>
    </row>
    <row r="2" spans="1:9" ht="16" x14ac:dyDescent="0.2">
      <c r="A2" s="96" t="s">
        <v>47</v>
      </c>
      <c r="B2" s="96"/>
    </row>
    <row r="4" spans="1:9" ht="15" thickBot="1" x14ac:dyDescent="0.2">
      <c r="A4" s="90" t="s">
        <v>1</v>
      </c>
      <c r="B4" s="91"/>
      <c r="D4" s="90" t="s">
        <v>48</v>
      </c>
      <c r="E4" s="97"/>
      <c r="F4" s="91"/>
      <c r="H4" s="90" t="s">
        <v>2</v>
      </c>
      <c r="I4" s="91"/>
    </row>
    <row r="5" spans="1:9" ht="15" thickTop="1" x14ac:dyDescent="0.15">
      <c r="A5" s="2"/>
      <c r="B5" s="3" t="s">
        <v>3</v>
      </c>
      <c r="E5" s="4"/>
      <c r="F5" s="4"/>
    </row>
    <row r="6" spans="1:9" x14ac:dyDescent="0.15">
      <c r="A6" s="5" t="s">
        <v>304</v>
      </c>
      <c r="B6" s="6">
        <f>+'Balance Sheet'!G5</f>
        <v>174775.45</v>
      </c>
      <c r="D6" s="7" t="s">
        <v>4</v>
      </c>
      <c r="E6" s="8" t="s">
        <v>5</v>
      </c>
      <c r="F6" s="8" t="s">
        <v>6</v>
      </c>
      <c r="G6" s="9"/>
      <c r="H6" s="8" t="s">
        <v>7</v>
      </c>
      <c r="I6" s="8" t="s">
        <v>8</v>
      </c>
    </row>
    <row r="7" spans="1:9" x14ac:dyDescent="0.15">
      <c r="A7" s="5" t="s">
        <v>303</v>
      </c>
      <c r="B7" s="6">
        <f>+'Balance Sheet'!G6</f>
        <v>162642.46</v>
      </c>
      <c r="D7" s="10" t="s">
        <v>9</v>
      </c>
      <c r="E7" s="11">
        <v>1454</v>
      </c>
      <c r="F7" s="11">
        <v>1905</v>
      </c>
      <c r="G7" s="9"/>
      <c r="H7" s="11">
        <f>1441+2133+1454</f>
        <v>5028</v>
      </c>
      <c r="I7" s="11">
        <f>1664+1944+1905</f>
        <v>5513</v>
      </c>
    </row>
    <row r="8" spans="1:9" x14ac:dyDescent="0.15">
      <c r="A8" s="5" t="s">
        <v>10</v>
      </c>
      <c r="B8" s="6">
        <f>+'Balance Sheet'!G12</f>
        <v>26176.63</v>
      </c>
      <c r="D8" s="10" t="s">
        <v>11</v>
      </c>
      <c r="E8" s="11">
        <v>309</v>
      </c>
      <c r="F8" s="11">
        <v>593</v>
      </c>
      <c r="G8" s="12"/>
      <c r="H8" s="11">
        <f>397+630+309</f>
        <v>1336</v>
      </c>
      <c r="I8" s="11">
        <f>897+471+593</f>
        <v>1961</v>
      </c>
    </row>
    <row r="9" spans="1:9" x14ac:dyDescent="0.15">
      <c r="A9" s="13" t="s">
        <v>12</v>
      </c>
      <c r="B9" s="14">
        <f>SUM(B6:B8)</f>
        <v>363594.54000000004</v>
      </c>
      <c r="D9" s="10" t="s">
        <v>13</v>
      </c>
      <c r="E9" s="11">
        <v>336</v>
      </c>
      <c r="F9" s="11">
        <v>488</v>
      </c>
      <c r="G9" s="12"/>
      <c r="H9" s="11">
        <f>386+457+336</f>
        <v>1179</v>
      </c>
      <c r="I9" s="11">
        <f>329+402+488</f>
        <v>1219</v>
      </c>
    </row>
    <row r="10" spans="1:9" x14ac:dyDescent="0.15">
      <c r="A10" s="13"/>
      <c r="B10" s="15"/>
      <c r="C10" s="16"/>
      <c r="D10" s="10" t="s">
        <v>14</v>
      </c>
      <c r="E10" s="11"/>
      <c r="F10" s="11"/>
      <c r="G10" s="9"/>
      <c r="H10" s="11"/>
      <c r="I10" s="11"/>
    </row>
    <row r="11" spans="1:9" x14ac:dyDescent="0.15">
      <c r="A11" s="5" t="s">
        <v>15</v>
      </c>
      <c r="B11" s="6">
        <v>75000</v>
      </c>
      <c r="C11" s="16"/>
      <c r="D11" s="10" t="s">
        <v>16</v>
      </c>
      <c r="E11" s="11">
        <v>13</v>
      </c>
      <c r="F11" s="11">
        <v>16</v>
      </c>
      <c r="G11" s="12"/>
      <c r="H11" s="11">
        <f>26+25+13</f>
        <v>64</v>
      </c>
      <c r="I11" s="11">
        <f>20+17+16</f>
        <v>53</v>
      </c>
    </row>
    <row r="12" spans="1:9" x14ac:dyDescent="0.15">
      <c r="A12" s="17" t="s">
        <v>17</v>
      </c>
      <c r="B12" s="18">
        <f>+(B6+B7)/(1223750/12)</f>
        <v>3.3086945209397345</v>
      </c>
      <c r="C12" s="16"/>
      <c r="D12" s="10" t="s">
        <v>18</v>
      </c>
      <c r="E12" s="11">
        <v>27</v>
      </c>
      <c r="F12" s="11">
        <v>31</v>
      </c>
      <c r="G12" s="12"/>
      <c r="H12" s="11">
        <f>46+44+27</f>
        <v>117</v>
      </c>
      <c r="I12" s="11">
        <f>45+37+31</f>
        <v>113</v>
      </c>
    </row>
    <row r="13" spans="1:9" x14ac:dyDescent="0.15">
      <c r="A13" s="19"/>
      <c r="B13" s="20"/>
      <c r="D13" s="10" t="s">
        <v>19</v>
      </c>
      <c r="E13" s="11">
        <v>12</v>
      </c>
      <c r="F13" s="11">
        <v>4</v>
      </c>
      <c r="G13" s="12"/>
      <c r="H13" s="11">
        <f>18+7+12</f>
        <v>37</v>
      </c>
      <c r="I13" s="11">
        <f>10+12+4</f>
        <v>26</v>
      </c>
    </row>
    <row r="14" spans="1:9" x14ac:dyDescent="0.15">
      <c r="D14" s="10" t="s">
        <v>20</v>
      </c>
      <c r="E14" s="11">
        <v>5</v>
      </c>
      <c r="F14" s="11">
        <v>7</v>
      </c>
      <c r="G14" s="9"/>
      <c r="H14" s="11">
        <f>5+5+5</f>
        <v>15</v>
      </c>
      <c r="I14" s="11">
        <f>8+10+7</f>
        <v>25</v>
      </c>
    </row>
    <row r="15" spans="1:9" x14ac:dyDescent="0.15">
      <c r="D15" s="10" t="s">
        <v>21</v>
      </c>
      <c r="E15" s="11">
        <v>3</v>
      </c>
      <c r="F15" s="11">
        <v>1</v>
      </c>
      <c r="G15" s="12"/>
      <c r="H15" s="11">
        <f>1+1+3</f>
        <v>5</v>
      </c>
      <c r="I15" s="11">
        <f>1+0+1</f>
        <v>2</v>
      </c>
    </row>
    <row r="16" spans="1:9" ht="15" thickBot="1" x14ac:dyDescent="0.2">
      <c r="A16" s="92" t="s">
        <v>22</v>
      </c>
      <c r="B16" s="93"/>
      <c r="C16" s="16"/>
      <c r="D16" s="10" t="s">
        <v>23</v>
      </c>
      <c r="E16" s="11">
        <v>1</v>
      </c>
      <c r="F16" s="11">
        <v>0</v>
      </c>
      <c r="G16" s="12"/>
      <c r="H16" s="11">
        <f>22+0+1</f>
        <v>23</v>
      </c>
      <c r="I16" s="11">
        <f>22+0+0</f>
        <v>22</v>
      </c>
    </row>
    <row r="17" spans="1:9" ht="15" thickTop="1" x14ac:dyDescent="0.15">
      <c r="A17" s="21" t="s">
        <v>24</v>
      </c>
      <c r="B17" s="22">
        <v>182725</v>
      </c>
      <c r="C17" s="16"/>
      <c r="D17" s="23"/>
      <c r="E17" s="24"/>
      <c r="F17" s="24"/>
      <c r="G17" s="12"/>
      <c r="H17" s="24"/>
      <c r="I17" s="24"/>
    </row>
    <row r="18" spans="1:9" x14ac:dyDescent="0.15">
      <c r="A18" s="21"/>
      <c r="B18" s="22"/>
      <c r="C18" s="16"/>
      <c r="D18" s="7" t="s">
        <v>25</v>
      </c>
      <c r="E18" s="8" t="str">
        <f>+E6</f>
        <v>FY20</v>
      </c>
      <c r="F18" s="8" t="str">
        <f>+F6</f>
        <v>FY19</v>
      </c>
      <c r="G18" s="12"/>
      <c r="H18" s="16"/>
      <c r="I18" s="16"/>
    </row>
    <row r="19" spans="1:9" ht="15" thickBot="1" x14ac:dyDescent="0.2">
      <c r="A19" s="94" t="s">
        <v>26</v>
      </c>
      <c r="B19" s="95"/>
      <c r="C19" s="16"/>
      <c r="D19" s="10" t="s">
        <v>27</v>
      </c>
      <c r="E19" s="11">
        <v>5012</v>
      </c>
      <c r="F19" s="11">
        <v>5027</v>
      </c>
      <c r="G19" s="12"/>
      <c r="H19" s="16"/>
      <c r="I19" s="16"/>
    </row>
    <row r="20" spans="1:9" ht="15" thickTop="1" x14ac:dyDescent="0.15">
      <c r="A20" s="21"/>
      <c r="B20" s="3"/>
      <c r="C20" s="16"/>
      <c r="D20" s="10" t="s">
        <v>28</v>
      </c>
      <c r="E20" s="11">
        <v>8397</v>
      </c>
      <c r="F20" s="11">
        <v>7179</v>
      </c>
      <c r="G20" s="12"/>
      <c r="H20" s="16"/>
      <c r="I20" s="16"/>
    </row>
    <row r="21" spans="1:9" ht="15" thickBot="1" x14ac:dyDescent="0.2">
      <c r="A21" s="25" t="s">
        <v>29</v>
      </c>
      <c r="B21" s="80">
        <f>+'Balance Sheet'!G23-B17</f>
        <v>161625.40999999997</v>
      </c>
      <c r="C21" s="16"/>
      <c r="D21" s="10" t="s">
        <v>30</v>
      </c>
      <c r="E21" s="11">
        <v>6283</v>
      </c>
      <c r="F21" s="11">
        <v>6112</v>
      </c>
      <c r="G21" s="12"/>
      <c r="H21" s="16"/>
      <c r="I21" s="16"/>
    </row>
    <row r="22" spans="1:9" ht="15" thickTop="1" x14ac:dyDescent="0.15">
      <c r="A22" s="26"/>
      <c r="B22" s="27"/>
      <c r="C22" s="16"/>
      <c r="D22" s="10" t="s">
        <v>31</v>
      </c>
      <c r="E22" s="11">
        <v>2427</v>
      </c>
      <c r="F22" s="11">
        <v>1497</v>
      </c>
      <c r="G22" s="12"/>
      <c r="H22" s="16"/>
      <c r="I22" s="16"/>
    </row>
    <row r="23" spans="1:9" x14ac:dyDescent="0.15">
      <c r="A23" s="25" t="s">
        <v>32</v>
      </c>
      <c r="B23" s="6"/>
      <c r="C23" s="16"/>
      <c r="D23" s="23"/>
      <c r="E23" s="24"/>
      <c r="F23" s="24"/>
      <c r="G23" s="12"/>
      <c r="H23" s="16"/>
      <c r="I23" s="16"/>
    </row>
    <row r="24" spans="1:9" x14ac:dyDescent="0.15">
      <c r="A24" s="21" t="s">
        <v>33</v>
      </c>
      <c r="B24" s="6">
        <v>27000</v>
      </c>
      <c r="D24" s="7" t="s">
        <v>34</v>
      </c>
      <c r="E24" s="8" t="str">
        <f>+E6</f>
        <v>FY20</v>
      </c>
      <c r="F24" s="8" t="str">
        <f>+F6</f>
        <v>FY19</v>
      </c>
      <c r="G24" s="9"/>
      <c r="H24" s="16"/>
      <c r="I24" s="16"/>
    </row>
    <row r="25" spans="1:9" x14ac:dyDescent="0.15">
      <c r="A25" s="21" t="s">
        <v>35</v>
      </c>
      <c r="B25" s="3">
        <v>9950</v>
      </c>
      <c r="D25" s="10" t="s">
        <v>36</v>
      </c>
      <c r="E25" s="28">
        <v>0.59</v>
      </c>
      <c r="F25" s="28">
        <v>0.72</v>
      </c>
      <c r="G25" s="9"/>
      <c r="H25" s="16"/>
      <c r="I25" s="16"/>
    </row>
    <row r="26" spans="1:9" s="16" customFormat="1" x14ac:dyDescent="0.15">
      <c r="A26" s="21" t="s">
        <v>37</v>
      </c>
      <c r="B26" s="3">
        <v>30000</v>
      </c>
      <c r="D26" s="10" t="s">
        <v>38</v>
      </c>
      <c r="E26" s="28">
        <v>0.81</v>
      </c>
      <c r="F26" s="28">
        <v>1</v>
      </c>
    </row>
    <row r="27" spans="1:9" s="16" customFormat="1" x14ac:dyDescent="0.15">
      <c r="A27" s="21" t="s">
        <v>39</v>
      </c>
      <c r="B27" s="3">
        <v>50000</v>
      </c>
      <c r="D27" s="10" t="s">
        <v>40</v>
      </c>
      <c r="E27" s="11">
        <v>154</v>
      </c>
      <c r="F27" s="11">
        <v>128</v>
      </c>
    </row>
    <row r="28" spans="1:9" s="16" customFormat="1" x14ac:dyDescent="0.15">
      <c r="A28" s="21" t="s">
        <v>41</v>
      </c>
      <c r="B28" s="3">
        <v>12500</v>
      </c>
      <c r="D28" s="10" t="s">
        <v>42</v>
      </c>
      <c r="E28" s="11">
        <v>1</v>
      </c>
      <c r="F28" s="11">
        <f>1+5</f>
        <v>6</v>
      </c>
    </row>
    <row r="29" spans="1:9" s="16" customFormat="1" ht="14.25" customHeight="1" x14ac:dyDescent="0.15">
      <c r="A29" s="21" t="s">
        <v>43</v>
      </c>
      <c r="B29" s="3">
        <v>375000</v>
      </c>
      <c r="D29" s="10" t="s">
        <v>44</v>
      </c>
      <c r="E29" s="11">
        <v>15</v>
      </c>
      <c r="F29" s="11">
        <f>8+1</f>
        <v>9</v>
      </c>
    </row>
    <row r="30" spans="1:9" s="16" customFormat="1" ht="14.25" customHeight="1" x14ac:dyDescent="0.15">
      <c r="A30" s="21" t="s">
        <v>46</v>
      </c>
      <c r="B30" s="3">
        <v>20000</v>
      </c>
      <c r="D30" s="29"/>
      <c r="E30" s="24"/>
      <c r="F30" s="24"/>
    </row>
    <row r="31" spans="1:9" s="16" customFormat="1" ht="14.25" customHeight="1" thickBot="1" x14ac:dyDescent="0.2">
      <c r="A31" s="25" t="s">
        <v>45</v>
      </c>
      <c r="B31" s="30">
        <f>SUM(B24:B30)</f>
        <v>524450</v>
      </c>
      <c r="D31" s="12"/>
      <c r="E31" s="31"/>
      <c r="F31" s="31"/>
    </row>
    <row r="32" spans="1:9" s="16" customFormat="1" ht="14.25" customHeight="1" thickTop="1" x14ac:dyDescent="0.15">
      <c r="A32" s="32"/>
      <c r="B32" s="33"/>
      <c r="D32" s="12"/>
      <c r="E32" s="31"/>
      <c r="F32" s="31"/>
    </row>
    <row r="33" spans="1:4" s="16" customFormat="1" ht="14.25" customHeight="1" x14ac:dyDescent="0.15">
      <c r="A33" s="34"/>
      <c r="B33" s="34"/>
    </row>
    <row r="34" spans="1:4" s="16" customFormat="1" ht="14.25" customHeight="1" x14ac:dyDescent="0.15">
      <c r="A34" s="35"/>
      <c r="B34" s="36"/>
      <c r="D34" s="37"/>
    </row>
    <row r="35" spans="1:4" s="16" customFormat="1" ht="14.25" customHeight="1" x14ac:dyDescent="0.15">
      <c r="A35" s="35"/>
      <c r="B35" s="38"/>
      <c r="C35" s="38"/>
    </row>
    <row r="36" spans="1:4" s="16" customFormat="1" x14ac:dyDescent="0.15">
      <c r="A36" s="38"/>
      <c r="B36" s="39"/>
    </row>
    <row r="37" spans="1:4" s="16" customFormat="1" x14ac:dyDescent="0.15">
      <c r="A37" s="35"/>
      <c r="B37" s="40"/>
    </row>
    <row r="38" spans="1:4" s="16" customFormat="1" x14ac:dyDescent="0.15">
      <c r="A38" s="35"/>
      <c r="B38" s="40"/>
    </row>
    <row r="39" spans="1:4" s="16" customFormat="1" x14ac:dyDescent="0.15">
      <c r="A39" s="35"/>
      <c r="B39" s="40"/>
    </row>
    <row r="40" spans="1:4" s="16" customFormat="1" x14ac:dyDescent="0.15">
      <c r="A40" s="35"/>
      <c r="B40" s="40"/>
    </row>
    <row r="41" spans="1:4" s="16" customFormat="1" x14ac:dyDescent="0.15">
      <c r="A41" s="41"/>
      <c r="B41" s="42"/>
    </row>
    <row r="42" spans="1:4" s="16" customFormat="1" x14ac:dyDescent="0.15">
      <c r="A42" s="35"/>
      <c r="B42" s="40"/>
    </row>
    <row r="43" spans="1:4" s="16" customFormat="1" x14ac:dyDescent="0.15">
      <c r="A43" s="35"/>
      <c r="B43" s="40"/>
    </row>
    <row r="44" spans="1:4" s="16" customFormat="1" x14ac:dyDescent="0.15">
      <c r="A44" s="43"/>
      <c r="B44" s="44"/>
    </row>
    <row r="45" spans="1:4" s="16" customFormat="1" x14ac:dyDescent="0.15">
      <c r="A45" s="19"/>
      <c r="B45" s="19"/>
    </row>
    <row r="46" spans="1:4" s="16" customFormat="1" x14ac:dyDescent="0.15">
      <c r="A46" s="19"/>
      <c r="B46" s="45"/>
    </row>
    <row r="47" spans="1:4" s="16" customFormat="1" x14ac:dyDescent="0.15">
      <c r="A47" s="19"/>
      <c r="B47" s="19"/>
    </row>
    <row r="48" spans="1:4" s="16" customFormat="1" x14ac:dyDescent="0.15"/>
  </sheetData>
  <mergeCells count="7">
    <mergeCell ref="H4:I4"/>
    <mergeCell ref="A16:B16"/>
    <mergeCell ref="A19:B19"/>
    <mergeCell ref="A1:B1"/>
    <mergeCell ref="A2:B2"/>
    <mergeCell ref="A4:B4"/>
    <mergeCell ref="D4:F4"/>
  </mergeCells>
  <pageMargins left="0.45" right="0.45" top="0.5" bottom="0.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96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G2" sqref="G2"/>
    </sheetView>
  </sheetViews>
  <sheetFormatPr baseColWidth="10" defaultColWidth="8.83203125" defaultRowHeight="15" x14ac:dyDescent="0.2"/>
  <cols>
    <col min="1" max="5" width="3" style="49" customWidth="1"/>
    <col min="6" max="6" width="38" style="49" customWidth="1"/>
    <col min="7" max="7" width="12.33203125" style="50" bestFit="1" customWidth="1"/>
  </cols>
  <sheetData>
    <row r="1" spans="1:7" s="47" customFormat="1" ht="16" thickBot="1" x14ac:dyDescent="0.25">
      <c r="A1" s="69"/>
      <c r="B1" s="69"/>
      <c r="C1" s="69"/>
      <c r="D1" s="69"/>
      <c r="E1" s="69"/>
      <c r="F1" s="69"/>
      <c r="G1" s="73" t="s">
        <v>209</v>
      </c>
    </row>
    <row r="2" spans="1:7" ht="16" thickTop="1" x14ac:dyDescent="0.2">
      <c r="A2" s="46" t="s">
        <v>210</v>
      </c>
      <c r="B2" s="46"/>
      <c r="C2" s="46"/>
      <c r="D2" s="46"/>
      <c r="E2" s="46"/>
      <c r="F2" s="46"/>
      <c r="G2" s="74"/>
    </row>
    <row r="3" spans="1:7" x14ac:dyDescent="0.2">
      <c r="A3" s="46"/>
      <c r="B3" s="46" t="s">
        <v>211</v>
      </c>
      <c r="C3" s="46"/>
      <c r="D3" s="46"/>
      <c r="E3" s="46"/>
      <c r="F3" s="46"/>
      <c r="G3" s="74"/>
    </row>
    <row r="4" spans="1:7" x14ac:dyDescent="0.2">
      <c r="A4" s="46"/>
      <c r="B4" s="46"/>
      <c r="C4" s="46" t="s">
        <v>212</v>
      </c>
      <c r="D4" s="46"/>
      <c r="E4" s="46"/>
      <c r="F4" s="46"/>
      <c r="G4" s="74"/>
    </row>
    <row r="5" spans="1:7" x14ac:dyDescent="0.2">
      <c r="A5" s="46"/>
      <c r="B5" s="46"/>
      <c r="C5" s="46"/>
      <c r="D5" s="46" t="s">
        <v>213</v>
      </c>
      <c r="E5" s="46"/>
      <c r="F5" s="46"/>
      <c r="G5" s="74">
        <v>174775.45</v>
      </c>
    </row>
    <row r="6" spans="1:7" x14ac:dyDescent="0.2">
      <c r="A6" s="46"/>
      <c r="B6" s="46"/>
      <c r="C6" s="46"/>
      <c r="D6" s="46" t="s">
        <v>214</v>
      </c>
      <c r="E6" s="46"/>
      <c r="F6" s="46"/>
      <c r="G6" s="74">
        <v>162642.46</v>
      </c>
    </row>
    <row r="7" spans="1:7" x14ac:dyDescent="0.2">
      <c r="A7" s="46"/>
      <c r="B7" s="46"/>
      <c r="C7" s="46"/>
      <c r="D7" s="46" t="s">
        <v>215</v>
      </c>
      <c r="E7" s="46"/>
      <c r="F7" s="46"/>
      <c r="G7" s="74"/>
    </row>
    <row r="8" spans="1:7" x14ac:dyDescent="0.2">
      <c r="A8" s="46"/>
      <c r="B8" s="46"/>
      <c r="C8" s="46"/>
      <c r="D8" s="46"/>
      <c r="E8" s="46" t="s">
        <v>216</v>
      </c>
      <c r="F8" s="46"/>
      <c r="G8" s="74"/>
    </row>
    <row r="9" spans="1:7" x14ac:dyDescent="0.2">
      <c r="A9" s="46"/>
      <c r="B9" s="46"/>
      <c r="C9" s="46"/>
      <c r="D9" s="46"/>
      <c r="E9" s="46"/>
      <c r="F9" s="46" t="s">
        <v>217</v>
      </c>
      <c r="G9" s="74">
        <v>11118.18</v>
      </c>
    </row>
    <row r="10" spans="1:7" ht="16" thickBot="1" x14ac:dyDescent="0.25">
      <c r="A10" s="46"/>
      <c r="B10" s="46"/>
      <c r="C10" s="46"/>
      <c r="D10" s="46"/>
      <c r="E10" s="46"/>
      <c r="F10" s="46" t="s">
        <v>218</v>
      </c>
      <c r="G10" s="75">
        <v>15058.45</v>
      </c>
    </row>
    <row r="11" spans="1:7" ht="16" thickBot="1" x14ac:dyDescent="0.25">
      <c r="A11" s="46"/>
      <c r="B11" s="46"/>
      <c r="C11" s="46"/>
      <c r="D11" s="46"/>
      <c r="E11" s="46" t="s">
        <v>219</v>
      </c>
      <c r="F11" s="46"/>
      <c r="G11" s="76">
        <f>ROUND(SUM(G8:G10),5)</f>
        <v>26176.63</v>
      </c>
    </row>
    <row r="12" spans="1:7" x14ac:dyDescent="0.2">
      <c r="A12" s="46"/>
      <c r="B12" s="46"/>
      <c r="C12" s="46"/>
      <c r="D12" s="46" t="s">
        <v>220</v>
      </c>
      <c r="E12" s="46"/>
      <c r="F12" s="46"/>
      <c r="G12" s="74">
        <f>ROUND(G7+G11,5)</f>
        <v>26176.63</v>
      </c>
    </row>
    <row r="13" spans="1:7" x14ac:dyDescent="0.2">
      <c r="A13" s="46"/>
      <c r="B13" s="46"/>
      <c r="C13" s="46"/>
      <c r="D13" s="46" t="s">
        <v>221</v>
      </c>
      <c r="E13" s="46"/>
      <c r="F13" s="46"/>
      <c r="G13" s="74"/>
    </row>
    <row r="14" spans="1:7" x14ac:dyDescent="0.2">
      <c r="A14" s="46"/>
      <c r="B14" s="46"/>
      <c r="C14" s="46"/>
      <c r="D14" s="46"/>
      <c r="E14" s="46" t="s">
        <v>222</v>
      </c>
      <c r="F14" s="46"/>
      <c r="G14" s="74"/>
    </row>
    <row r="15" spans="1:7" x14ac:dyDescent="0.2">
      <c r="A15" s="46"/>
      <c r="B15" s="46"/>
      <c r="C15" s="46"/>
      <c r="D15" s="46"/>
      <c r="E15" s="46"/>
      <c r="F15" s="46" t="s">
        <v>223</v>
      </c>
      <c r="G15" s="74">
        <v>2663.47</v>
      </c>
    </row>
    <row r="16" spans="1:7" x14ac:dyDescent="0.2">
      <c r="A16" s="46"/>
      <c r="B16" s="46"/>
      <c r="C16" s="46"/>
      <c r="D16" s="46"/>
      <c r="E16" s="46"/>
      <c r="F16" s="46" t="s">
        <v>224</v>
      </c>
      <c r="G16" s="74">
        <v>50826.7</v>
      </c>
    </row>
    <row r="17" spans="1:7" x14ac:dyDescent="0.2">
      <c r="A17" s="46"/>
      <c r="B17" s="46"/>
      <c r="C17" s="46"/>
      <c r="D17" s="46"/>
      <c r="E17" s="46"/>
      <c r="F17" s="46" t="s">
        <v>225</v>
      </c>
      <c r="G17" s="74">
        <v>29764.240000000002</v>
      </c>
    </row>
    <row r="18" spans="1:7" x14ac:dyDescent="0.2">
      <c r="A18" s="46"/>
      <c r="B18" s="46"/>
      <c r="C18" s="46"/>
      <c r="D18" s="46"/>
      <c r="E18" s="46"/>
      <c r="F18" s="46" t="s">
        <v>226</v>
      </c>
      <c r="G18" s="74">
        <v>75613.3</v>
      </c>
    </row>
    <row r="19" spans="1:7" x14ac:dyDescent="0.2">
      <c r="A19" s="46"/>
      <c r="B19" s="46"/>
      <c r="C19" s="46"/>
      <c r="D19" s="46"/>
      <c r="E19" s="46"/>
      <c r="F19" s="46" t="s">
        <v>227</v>
      </c>
      <c r="G19" s="74">
        <v>129174.73</v>
      </c>
    </row>
    <row r="20" spans="1:7" x14ac:dyDescent="0.2">
      <c r="A20" s="46"/>
      <c r="B20" s="46"/>
      <c r="C20" s="46"/>
      <c r="D20" s="46"/>
      <c r="E20" s="46"/>
      <c r="F20" s="46" t="s">
        <v>228</v>
      </c>
      <c r="G20" s="74">
        <v>55022.42</v>
      </c>
    </row>
    <row r="21" spans="1:7" ht="16" thickBot="1" x14ac:dyDescent="0.25">
      <c r="A21" s="46"/>
      <c r="B21" s="46"/>
      <c r="C21" s="46"/>
      <c r="D21" s="46"/>
      <c r="E21" s="46"/>
      <c r="F21" s="46" t="s">
        <v>229</v>
      </c>
      <c r="G21" s="75">
        <v>1285.55</v>
      </c>
    </row>
    <row r="22" spans="1:7" ht="16" thickBot="1" x14ac:dyDescent="0.25">
      <c r="A22" s="46"/>
      <c r="B22" s="46"/>
      <c r="C22" s="46"/>
      <c r="D22" s="46"/>
      <c r="E22" s="46" t="s">
        <v>230</v>
      </c>
      <c r="F22" s="46"/>
      <c r="G22" s="77">
        <f>ROUND(SUM(G14:G21),5)</f>
        <v>344350.41</v>
      </c>
    </row>
    <row r="23" spans="1:7" ht="16" thickBot="1" x14ac:dyDescent="0.25">
      <c r="A23" s="46"/>
      <c r="B23" s="46"/>
      <c r="C23" s="46"/>
      <c r="D23" s="46" t="s">
        <v>231</v>
      </c>
      <c r="E23" s="46"/>
      <c r="F23" s="46"/>
      <c r="G23" s="76">
        <f>ROUND(G13+G22,5)</f>
        <v>344350.41</v>
      </c>
    </row>
    <row r="24" spans="1:7" x14ac:dyDescent="0.2">
      <c r="A24" s="46"/>
      <c r="B24" s="46"/>
      <c r="C24" s="46" t="s">
        <v>232</v>
      </c>
      <c r="D24" s="46"/>
      <c r="E24" s="46"/>
      <c r="F24" s="46"/>
      <c r="G24" s="74">
        <f>ROUND(SUM(G4:G6)+G12+G23,5)</f>
        <v>707944.95</v>
      </c>
    </row>
    <row r="25" spans="1:7" x14ac:dyDescent="0.2">
      <c r="A25" s="46"/>
      <c r="B25" s="46"/>
      <c r="C25" s="46" t="s">
        <v>233</v>
      </c>
      <c r="D25" s="46"/>
      <c r="E25" s="46"/>
      <c r="F25" s="46"/>
      <c r="G25" s="74"/>
    </row>
    <row r="26" spans="1:7" x14ac:dyDescent="0.2">
      <c r="A26" s="46"/>
      <c r="B26" s="46"/>
      <c r="C26" s="46"/>
      <c r="D26" s="46" t="s">
        <v>234</v>
      </c>
      <c r="E26" s="46"/>
      <c r="F26" s="46"/>
      <c r="G26" s="74">
        <v>56171.37</v>
      </c>
    </row>
    <row r="27" spans="1:7" x14ac:dyDescent="0.2">
      <c r="A27" s="46"/>
      <c r="B27" s="46"/>
      <c r="C27" s="46"/>
      <c r="D27" s="46" t="s">
        <v>235</v>
      </c>
      <c r="E27" s="46"/>
      <c r="F27" s="46"/>
      <c r="G27" s="74">
        <v>3150</v>
      </c>
    </row>
    <row r="28" spans="1:7" x14ac:dyDescent="0.2">
      <c r="A28" s="46"/>
      <c r="B28" s="46"/>
      <c r="C28" s="46"/>
      <c r="D28" s="46" t="s">
        <v>236</v>
      </c>
      <c r="E28" s="46"/>
      <c r="F28" s="46"/>
      <c r="G28" s="74">
        <v>365946</v>
      </c>
    </row>
    <row r="29" spans="1:7" ht="16" thickBot="1" x14ac:dyDescent="0.25">
      <c r="A29" s="46"/>
      <c r="B29" s="46"/>
      <c r="C29" s="46"/>
      <c r="D29" s="46" t="s">
        <v>237</v>
      </c>
      <c r="E29" s="46"/>
      <c r="F29" s="46"/>
      <c r="G29" s="78">
        <v>-1650</v>
      </c>
    </row>
    <row r="30" spans="1:7" x14ac:dyDescent="0.2">
      <c r="A30" s="46"/>
      <c r="B30" s="46"/>
      <c r="C30" s="46" t="s">
        <v>238</v>
      </c>
      <c r="D30" s="46"/>
      <c r="E30" s="46"/>
      <c r="F30" s="46"/>
      <c r="G30" s="74">
        <f>ROUND(SUM(G25:G29),5)</f>
        <v>423617.37</v>
      </c>
    </row>
    <row r="31" spans="1:7" x14ac:dyDescent="0.2">
      <c r="A31" s="46"/>
      <c r="B31" s="46"/>
      <c r="C31" s="46" t="s">
        <v>239</v>
      </c>
      <c r="D31" s="46"/>
      <c r="E31" s="46"/>
      <c r="F31" s="46"/>
      <c r="G31" s="74"/>
    </row>
    <row r="32" spans="1:7" x14ac:dyDescent="0.2">
      <c r="A32" s="46"/>
      <c r="B32" s="46"/>
      <c r="C32" s="46"/>
      <c r="D32" s="46" t="s">
        <v>240</v>
      </c>
      <c r="E32" s="46"/>
      <c r="F32" s="46"/>
      <c r="G32" s="74"/>
    </row>
    <row r="33" spans="1:7" x14ac:dyDescent="0.2">
      <c r="A33" s="46"/>
      <c r="B33" s="46"/>
      <c r="C33" s="46"/>
      <c r="D33" s="46"/>
      <c r="E33" s="46" t="s">
        <v>241</v>
      </c>
      <c r="F33" s="46"/>
      <c r="G33" s="74">
        <v>21.92</v>
      </c>
    </row>
    <row r="34" spans="1:7" x14ac:dyDescent="0.2">
      <c r="A34" s="46"/>
      <c r="B34" s="46"/>
      <c r="C34" s="46"/>
      <c r="D34" s="46"/>
      <c r="E34" s="46" t="s">
        <v>242</v>
      </c>
      <c r="F34" s="46"/>
      <c r="G34" s="74">
        <v>75</v>
      </c>
    </row>
    <row r="35" spans="1:7" ht="16" thickBot="1" x14ac:dyDescent="0.25">
      <c r="A35" s="46"/>
      <c r="B35" s="46"/>
      <c r="C35" s="46"/>
      <c r="D35" s="46"/>
      <c r="E35" s="46" t="s">
        <v>243</v>
      </c>
      <c r="F35" s="46"/>
      <c r="G35" s="78">
        <v>349</v>
      </c>
    </row>
    <row r="36" spans="1:7" x14ac:dyDescent="0.2">
      <c r="A36" s="46"/>
      <c r="B36" s="46"/>
      <c r="C36" s="46"/>
      <c r="D36" s="46" t="s">
        <v>244</v>
      </c>
      <c r="E36" s="46"/>
      <c r="F36" s="46"/>
      <c r="G36" s="74">
        <f>ROUND(SUM(G32:G35),5)</f>
        <v>445.92</v>
      </c>
    </row>
    <row r="37" spans="1:7" x14ac:dyDescent="0.2">
      <c r="A37" s="46"/>
      <c r="B37" s="46"/>
      <c r="C37" s="46"/>
      <c r="D37" s="46" t="s">
        <v>245</v>
      </c>
      <c r="E37" s="46"/>
      <c r="F37" s="46"/>
      <c r="G37" s="74"/>
    </row>
    <row r="38" spans="1:7" x14ac:dyDescent="0.2">
      <c r="A38" s="46"/>
      <c r="B38" s="46"/>
      <c r="C38" s="46"/>
      <c r="D38" s="46"/>
      <c r="E38" s="46" t="s">
        <v>246</v>
      </c>
      <c r="F38" s="46"/>
      <c r="G38" s="74">
        <v>123.71</v>
      </c>
    </row>
    <row r="39" spans="1:7" ht="16" thickBot="1" x14ac:dyDescent="0.25">
      <c r="A39" s="46"/>
      <c r="B39" s="46"/>
      <c r="C39" s="46"/>
      <c r="D39" s="46"/>
      <c r="E39" s="46" t="s">
        <v>247</v>
      </c>
      <c r="F39" s="46"/>
      <c r="G39" s="78">
        <v>9702.2000000000007</v>
      </c>
    </row>
    <row r="40" spans="1:7" x14ac:dyDescent="0.2">
      <c r="A40" s="46"/>
      <c r="B40" s="46"/>
      <c r="C40" s="46"/>
      <c r="D40" s="46" t="s">
        <v>248</v>
      </c>
      <c r="E40" s="46"/>
      <c r="F40" s="46"/>
      <c r="G40" s="74">
        <f>ROUND(SUM(G37:G39),5)</f>
        <v>9825.91</v>
      </c>
    </row>
    <row r="41" spans="1:7" x14ac:dyDescent="0.2">
      <c r="A41" s="46"/>
      <c r="B41" s="46"/>
      <c r="C41" s="46"/>
      <c r="D41" s="46" t="s">
        <v>249</v>
      </c>
      <c r="E41" s="46"/>
      <c r="F41" s="46"/>
      <c r="G41" s="74"/>
    </row>
    <row r="42" spans="1:7" x14ac:dyDescent="0.2">
      <c r="A42" s="46"/>
      <c r="B42" s="46"/>
      <c r="C42" s="46"/>
      <c r="D42" s="46"/>
      <c r="E42" s="46" t="s">
        <v>250</v>
      </c>
      <c r="F42" s="46"/>
      <c r="G42" s="74">
        <v>10240.51</v>
      </c>
    </row>
    <row r="43" spans="1:7" ht="16" thickBot="1" x14ac:dyDescent="0.25">
      <c r="A43" s="46"/>
      <c r="B43" s="46"/>
      <c r="C43" s="46"/>
      <c r="D43" s="46"/>
      <c r="E43" s="46" t="s">
        <v>251</v>
      </c>
      <c r="F43" s="46"/>
      <c r="G43" s="78">
        <v>8785.2900000000009</v>
      </c>
    </row>
    <row r="44" spans="1:7" x14ac:dyDescent="0.2">
      <c r="A44" s="46"/>
      <c r="B44" s="46"/>
      <c r="C44" s="46"/>
      <c r="D44" s="46" t="s">
        <v>252</v>
      </c>
      <c r="E44" s="46"/>
      <c r="F44" s="46"/>
      <c r="G44" s="74">
        <f>ROUND(SUM(G41:G43),5)</f>
        <v>19025.8</v>
      </c>
    </row>
    <row r="45" spans="1:7" ht="16" thickBot="1" x14ac:dyDescent="0.25">
      <c r="A45" s="46"/>
      <c r="B45" s="46"/>
      <c r="C45" s="46"/>
      <c r="D45" s="46" t="s">
        <v>253</v>
      </c>
      <c r="E45" s="46"/>
      <c r="F45" s="46"/>
      <c r="G45" s="75">
        <v>2247.46</v>
      </c>
    </row>
    <row r="46" spans="1:7" ht="16" thickBot="1" x14ac:dyDescent="0.25">
      <c r="A46" s="46"/>
      <c r="B46" s="46"/>
      <c r="C46" s="46" t="s">
        <v>254</v>
      </c>
      <c r="D46" s="46"/>
      <c r="E46" s="46"/>
      <c r="F46" s="46"/>
      <c r="G46" s="76">
        <f>ROUND(G31+G36+G40+SUM(G44:G45),5)</f>
        <v>31545.09</v>
      </c>
    </row>
    <row r="47" spans="1:7" x14ac:dyDescent="0.2">
      <c r="A47" s="46"/>
      <c r="B47" s="46" t="s">
        <v>255</v>
      </c>
      <c r="C47" s="46"/>
      <c r="D47" s="46"/>
      <c r="E47" s="46"/>
      <c r="F47" s="46"/>
      <c r="G47" s="74">
        <f>ROUND(G3+G24+G30+G46,5)</f>
        <v>1163107.4099999999</v>
      </c>
    </row>
    <row r="48" spans="1:7" x14ac:dyDescent="0.2">
      <c r="A48" s="46"/>
      <c r="B48" s="46" t="s">
        <v>256</v>
      </c>
      <c r="C48" s="46"/>
      <c r="D48" s="46"/>
      <c r="E48" s="46"/>
      <c r="F48" s="46"/>
      <c r="G48" s="74"/>
    </row>
    <row r="49" spans="1:7" x14ac:dyDescent="0.2">
      <c r="A49" s="46"/>
      <c r="B49" s="46"/>
      <c r="C49" s="46" t="s">
        <v>257</v>
      </c>
      <c r="D49" s="46"/>
      <c r="E49" s="46"/>
      <c r="F49" s="46"/>
      <c r="G49" s="74">
        <v>40851.339999999997</v>
      </c>
    </row>
    <row r="50" spans="1:7" x14ac:dyDescent="0.2">
      <c r="A50" s="46"/>
      <c r="B50" s="46"/>
      <c r="C50" s="46" t="s">
        <v>258</v>
      </c>
      <c r="D50" s="46"/>
      <c r="E50" s="46"/>
      <c r="F50" s="46"/>
      <c r="G50" s="74">
        <v>106700</v>
      </c>
    </row>
    <row r="51" spans="1:7" x14ac:dyDescent="0.2">
      <c r="A51" s="46"/>
      <c r="B51" s="46"/>
      <c r="C51" s="46" t="s">
        <v>259</v>
      </c>
      <c r="D51" s="46"/>
      <c r="E51" s="46"/>
      <c r="F51" s="46"/>
      <c r="G51" s="74">
        <v>417202.5</v>
      </c>
    </row>
    <row r="52" spans="1:7" x14ac:dyDescent="0.2">
      <c r="A52" s="46"/>
      <c r="B52" s="46"/>
      <c r="C52" s="46" t="s">
        <v>260</v>
      </c>
      <c r="D52" s="46"/>
      <c r="E52" s="46"/>
      <c r="F52" s="46"/>
      <c r="G52" s="74">
        <v>1688678.63</v>
      </c>
    </row>
    <row r="53" spans="1:7" x14ac:dyDescent="0.2">
      <c r="A53" s="46"/>
      <c r="B53" s="46"/>
      <c r="C53" s="46" t="s">
        <v>261</v>
      </c>
      <c r="D53" s="46"/>
      <c r="E53" s="46"/>
      <c r="F53" s="46"/>
      <c r="G53" s="74">
        <v>146386.5</v>
      </c>
    </row>
    <row r="54" spans="1:7" x14ac:dyDescent="0.2">
      <c r="A54" s="46"/>
      <c r="B54" s="46"/>
      <c r="C54" s="46" t="s">
        <v>262</v>
      </c>
      <c r="D54" s="46"/>
      <c r="E54" s="46"/>
      <c r="F54" s="46"/>
      <c r="G54" s="74">
        <v>21167.29</v>
      </c>
    </row>
    <row r="55" spans="1:7" ht="16" thickBot="1" x14ac:dyDescent="0.25">
      <c r="A55" s="46"/>
      <c r="B55" s="46"/>
      <c r="C55" s="46" t="s">
        <v>263</v>
      </c>
      <c r="D55" s="46"/>
      <c r="E55" s="46"/>
      <c r="F55" s="46"/>
      <c r="G55" s="75">
        <v>-1022360.92</v>
      </c>
    </row>
    <row r="56" spans="1:7" ht="16" thickBot="1" x14ac:dyDescent="0.25">
      <c r="A56" s="46"/>
      <c r="B56" s="46" t="s">
        <v>264</v>
      </c>
      <c r="C56" s="46"/>
      <c r="D56" s="46"/>
      <c r="E56" s="46"/>
      <c r="F56" s="46"/>
      <c r="G56" s="77">
        <f>ROUND(SUM(G48:G55),5)</f>
        <v>1398625.34</v>
      </c>
    </row>
    <row r="57" spans="1:7" s="48" customFormat="1" ht="14" thickBot="1" x14ac:dyDescent="0.2">
      <c r="A57" s="46" t="s">
        <v>265</v>
      </c>
      <c r="B57" s="46"/>
      <c r="C57" s="46"/>
      <c r="D57" s="46"/>
      <c r="E57" s="46"/>
      <c r="F57" s="46"/>
      <c r="G57" s="79">
        <f>ROUND(G2+G47+G56,5)</f>
        <v>2561732.75</v>
      </c>
    </row>
    <row r="58" spans="1:7" ht="16" thickTop="1" x14ac:dyDescent="0.2">
      <c r="A58" s="46" t="s">
        <v>266</v>
      </c>
      <c r="B58" s="46"/>
      <c r="C58" s="46"/>
      <c r="D58" s="46"/>
      <c r="E58" s="46"/>
      <c r="F58" s="46"/>
      <c r="G58" s="74"/>
    </row>
    <row r="59" spans="1:7" x14ac:dyDescent="0.2">
      <c r="A59" s="46"/>
      <c r="B59" s="46" t="s">
        <v>267</v>
      </c>
      <c r="C59" s="46"/>
      <c r="D59" s="46"/>
      <c r="E59" s="46"/>
      <c r="F59" s="46"/>
      <c r="G59" s="74"/>
    </row>
    <row r="60" spans="1:7" x14ac:dyDescent="0.2">
      <c r="A60" s="46"/>
      <c r="B60" s="46"/>
      <c r="C60" s="46" t="s">
        <v>268</v>
      </c>
      <c r="D60" s="46"/>
      <c r="E60" s="46"/>
      <c r="F60" s="46"/>
      <c r="G60" s="74"/>
    </row>
    <row r="61" spans="1:7" x14ac:dyDescent="0.2">
      <c r="A61" s="46"/>
      <c r="B61" s="46"/>
      <c r="C61" s="46"/>
      <c r="D61" s="46" t="s">
        <v>269</v>
      </c>
      <c r="E61" s="46"/>
      <c r="F61" s="46"/>
      <c r="G61" s="74"/>
    </row>
    <row r="62" spans="1:7" ht="16" thickBot="1" x14ac:dyDescent="0.25">
      <c r="A62" s="46"/>
      <c r="B62" s="46"/>
      <c r="C62" s="46"/>
      <c r="D62" s="46"/>
      <c r="E62" s="46" t="s">
        <v>270</v>
      </c>
      <c r="F62" s="46"/>
      <c r="G62" s="78">
        <v>11031.86</v>
      </c>
    </row>
    <row r="63" spans="1:7" x14ac:dyDescent="0.2">
      <c r="A63" s="46"/>
      <c r="B63" s="46"/>
      <c r="C63" s="46"/>
      <c r="D63" s="46" t="s">
        <v>271</v>
      </c>
      <c r="E63" s="46"/>
      <c r="F63" s="46"/>
      <c r="G63" s="74">
        <f>ROUND(SUM(G61:G62),5)</f>
        <v>11031.86</v>
      </c>
    </row>
    <row r="64" spans="1:7" x14ac:dyDescent="0.2">
      <c r="A64" s="46"/>
      <c r="B64" s="46"/>
      <c r="C64" s="46"/>
      <c r="D64" s="46" t="s">
        <v>272</v>
      </c>
      <c r="E64" s="46"/>
      <c r="F64" s="46"/>
      <c r="G64" s="74"/>
    </row>
    <row r="65" spans="1:7" x14ac:dyDescent="0.2">
      <c r="A65" s="46"/>
      <c r="B65" s="46"/>
      <c r="C65" s="46"/>
      <c r="D65" s="46"/>
      <c r="E65" s="46" t="s">
        <v>273</v>
      </c>
      <c r="F65" s="46"/>
      <c r="G65" s="74">
        <v>3599.77</v>
      </c>
    </row>
    <row r="66" spans="1:7" x14ac:dyDescent="0.2">
      <c r="A66" s="46"/>
      <c r="B66" s="46"/>
      <c r="C66" s="46"/>
      <c r="D66" s="46"/>
      <c r="E66" s="46" t="s">
        <v>274</v>
      </c>
      <c r="F66" s="46"/>
      <c r="G66" s="74">
        <v>314</v>
      </c>
    </row>
    <row r="67" spans="1:7" ht="16" thickBot="1" x14ac:dyDescent="0.25">
      <c r="A67" s="46"/>
      <c r="B67" s="46"/>
      <c r="C67" s="46"/>
      <c r="D67" s="46"/>
      <c r="E67" s="46" t="s">
        <v>275</v>
      </c>
      <c r="F67" s="46"/>
      <c r="G67" s="78">
        <v>1823.63</v>
      </c>
    </row>
    <row r="68" spans="1:7" x14ac:dyDescent="0.2">
      <c r="A68" s="46"/>
      <c r="B68" s="46"/>
      <c r="C68" s="46"/>
      <c r="D68" s="46" t="s">
        <v>276</v>
      </c>
      <c r="E68" s="46"/>
      <c r="F68" s="46"/>
      <c r="G68" s="74">
        <f>ROUND(SUM(G64:G67),5)</f>
        <v>5737.4</v>
      </c>
    </row>
    <row r="69" spans="1:7" x14ac:dyDescent="0.2">
      <c r="A69" s="46"/>
      <c r="B69" s="46"/>
      <c r="C69" s="46"/>
      <c r="D69" s="46" t="s">
        <v>277</v>
      </c>
      <c r="E69" s="46"/>
      <c r="F69" s="46"/>
      <c r="G69" s="74"/>
    </row>
    <row r="70" spans="1:7" x14ac:dyDescent="0.2">
      <c r="A70" s="46"/>
      <c r="B70" s="46"/>
      <c r="C70" s="46"/>
      <c r="D70" s="46"/>
      <c r="E70" s="46" t="s">
        <v>278</v>
      </c>
      <c r="F70" s="46"/>
      <c r="G70" s="74"/>
    </row>
    <row r="71" spans="1:7" ht="16" thickBot="1" x14ac:dyDescent="0.25">
      <c r="A71" s="46"/>
      <c r="B71" s="46"/>
      <c r="C71" s="46"/>
      <c r="D71" s="46"/>
      <c r="E71" s="46"/>
      <c r="F71" s="46" t="s">
        <v>279</v>
      </c>
      <c r="G71" s="78">
        <v>-556.44000000000005</v>
      </c>
    </row>
    <row r="72" spans="1:7" x14ac:dyDescent="0.2">
      <c r="A72" s="46"/>
      <c r="B72" s="46"/>
      <c r="C72" s="46"/>
      <c r="D72" s="46"/>
      <c r="E72" s="46" t="s">
        <v>280</v>
      </c>
      <c r="F72" s="46"/>
      <c r="G72" s="74">
        <f>ROUND(SUM(G70:G71),5)</f>
        <v>-556.44000000000005</v>
      </c>
    </row>
    <row r="73" spans="1:7" x14ac:dyDescent="0.2">
      <c r="A73" s="46"/>
      <c r="B73" s="46"/>
      <c r="C73" s="46"/>
      <c r="D73" s="46"/>
      <c r="E73" s="46" t="s">
        <v>281</v>
      </c>
      <c r="F73" s="46"/>
      <c r="G73" s="74">
        <v>57000</v>
      </c>
    </row>
    <row r="74" spans="1:7" x14ac:dyDescent="0.2">
      <c r="A74" s="46"/>
      <c r="B74" s="46"/>
      <c r="C74" s="46"/>
      <c r="D74" s="46"/>
      <c r="E74" s="46" t="s">
        <v>282</v>
      </c>
      <c r="F74" s="46"/>
      <c r="G74" s="74">
        <v>34797.5</v>
      </c>
    </row>
    <row r="75" spans="1:7" x14ac:dyDescent="0.2">
      <c r="A75" s="46"/>
      <c r="B75" s="46"/>
      <c r="C75" s="46"/>
      <c r="D75" s="46"/>
      <c r="E75" s="46" t="s">
        <v>283</v>
      </c>
      <c r="F75" s="46"/>
      <c r="G75" s="74">
        <v>5408.36</v>
      </c>
    </row>
    <row r="76" spans="1:7" x14ac:dyDescent="0.2">
      <c r="A76" s="46"/>
      <c r="B76" s="46"/>
      <c r="C76" s="46"/>
      <c r="D76" s="46"/>
      <c r="E76" s="46" t="s">
        <v>284</v>
      </c>
      <c r="F76" s="46"/>
      <c r="G76" s="74">
        <v>19231.62</v>
      </c>
    </row>
    <row r="77" spans="1:7" x14ac:dyDescent="0.2">
      <c r="A77" s="46"/>
      <c r="B77" s="46"/>
      <c r="C77" s="46"/>
      <c r="D77" s="46"/>
      <c r="E77" s="46" t="s">
        <v>285</v>
      </c>
      <c r="F77" s="46"/>
      <c r="G77" s="74">
        <v>16476.2</v>
      </c>
    </row>
    <row r="78" spans="1:7" x14ac:dyDescent="0.2">
      <c r="A78" s="46"/>
      <c r="B78" s="46"/>
      <c r="C78" s="46"/>
      <c r="D78" s="46"/>
      <c r="E78" s="46" t="s">
        <v>286</v>
      </c>
      <c r="F78" s="46"/>
      <c r="G78" s="74">
        <v>473.02</v>
      </c>
    </row>
    <row r="79" spans="1:7" ht="16" thickBot="1" x14ac:dyDescent="0.25">
      <c r="A79" s="46"/>
      <c r="B79" s="46"/>
      <c r="C79" s="46"/>
      <c r="D79" s="46"/>
      <c r="E79" s="46" t="s">
        <v>287</v>
      </c>
      <c r="F79" s="46"/>
      <c r="G79" s="75">
        <v>8368.8700000000008</v>
      </c>
    </row>
    <row r="80" spans="1:7" ht="16" thickBot="1" x14ac:dyDescent="0.25">
      <c r="A80" s="46"/>
      <c r="B80" s="46"/>
      <c r="C80" s="46"/>
      <c r="D80" s="46" t="s">
        <v>288</v>
      </c>
      <c r="E80" s="46"/>
      <c r="F80" s="46"/>
      <c r="G80" s="76">
        <f>ROUND(G69+SUM(G72:G79),5)</f>
        <v>141199.13</v>
      </c>
    </row>
    <row r="81" spans="1:7" x14ac:dyDescent="0.2">
      <c r="A81" s="46"/>
      <c r="B81" s="46"/>
      <c r="C81" s="46" t="s">
        <v>289</v>
      </c>
      <c r="D81" s="46"/>
      <c r="E81" s="46"/>
      <c r="F81" s="46"/>
      <c r="G81" s="74">
        <f>ROUND(G60+G63+G68+G80,5)</f>
        <v>157968.39000000001</v>
      </c>
    </row>
    <row r="82" spans="1:7" x14ac:dyDescent="0.2">
      <c r="A82" s="46"/>
      <c r="B82" s="46"/>
      <c r="C82" s="46" t="s">
        <v>290</v>
      </c>
      <c r="D82" s="46"/>
      <c r="E82" s="46"/>
      <c r="F82" s="46"/>
      <c r="G82" s="74"/>
    </row>
    <row r="83" spans="1:7" ht="16" thickBot="1" x14ac:dyDescent="0.25">
      <c r="A83" s="46"/>
      <c r="B83" s="46"/>
      <c r="C83" s="46"/>
      <c r="D83" s="46" t="s">
        <v>291</v>
      </c>
      <c r="E83" s="46"/>
      <c r="F83" s="46"/>
      <c r="G83" s="75">
        <v>314581.65000000002</v>
      </c>
    </row>
    <row r="84" spans="1:7" ht="16" thickBot="1" x14ac:dyDescent="0.25">
      <c r="A84" s="46"/>
      <c r="B84" s="46"/>
      <c r="C84" s="46" t="s">
        <v>292</v>
      </c>
      <c r="D84" s="46"/>
      <c r="E84" s="46"/>
      <c r="F84" s="46"/>
      <c r="G84" s="76">
        <f>ROUND(SUM(G82:G83),5)</f>
        <v>314581.65000000002</v>
      </c>
    </row>
    <row r="85" spans="1:7" x14ac:dyDescent="0.2">
      <c r="A85" s="46"/>
      <c r="B85" s="46" t="s">
        <v>293</v>
      </c>
      <c r="C85" s="46"/>
      <c r="D85" s="46"/>
      <c r="E85" s="46"/>
      <c r="F85" s="46"/>
      <c r="G85" s="74">
        <f>ROUND(G59+G81+G84,5)</f>
        <v>472550.04</v>
      </c>
    </row>
    <row r="86" spans="1:7" x14ac:dyDescent="0.2">
      <c r="A86" s="46"/>
      <c r="B86" s="46" t="s">
        <v>294</v>
      </c>
      <c r="C86" s="46"/>
      <c r="D86" s="46"/>
      <c r="E86" s="46"/>
      <c r="F86" s="46"/>
      <c r="G86" s="74"/>
    </row>
    <row r="87" spans="1:7" x14ac:dyDescent="0.2">
      <c r="A87" s="46"/>
      <c r="B87" s="46"/>
      <c r="C87" s="46" t="s">
        <v>295</v>
      </c>
      <c r="D87" s="46"/>
      <c r="E87" s="46"/>
      <c r="F87" s="46"/>
      <c r="G87" s="74">
        <v>322.02</v>
      </c>
    </row>
    <row r="88" spans="1:7" x14ac:dyDescent="0.2">
      <c r="A88" s="46"/>
      <c r="B88" s="46"/>
      <c r="C88" s="46" t="s">
        <v>296</v>
      </c>
      <c r="D88" s="46"/>
      <c r="E88" s="46"/>
      <c r="F88" s="46"/>
      <c r="G88" s="74">
        <v>-182270.14</v>
      </c>
    </row>
    <row r="89" spans="1:7" x14ac:dyDescent="0.2">
      <c r="A89" s="46"/>
      <c r="B89" s="46"/>
      <c r="C89" s="46" t="s">
        <v>297</v>
      </c>
      <c r="D89" s="46"/>
      <c r="E89" s="46"/>
      <c r="F89" s="46"/>
      <c r="G89" s="74">
        <v>1346796.95</v>
      </c>
    </row>
    <row r="90" spans="1:7" x14ac:dyDescent="0.2">
      <c r="A90" s="46"/>
      <c r="B90" s="46"/>
      <c r="C90" s="46" t="s">
        <v>298</v>
      </c>
      <c r="D90" s="46"/>
      <c r="E90" s="46"/>
      <c r="F90" s="46"/>
      <c r="G90" s="74">
        <v>142152</v>
      </c>
    </row>
    <row r="91" spans="1:7" x14ac:dyDescent="0.2">
      <c r="A91" s="46"/>
      <c r="B91" s="46"/>
      <c r="C91" s="46" t="s">
        <v>299</v>
      </c>
      <c r="D91" s="46"/>
      <c r="E91" s="46"/>
      <c r="F91" s="46"/>
      <c r="G91" s="74">
        <v>218312.73</v>
      </c>
    </row>
    <row r="92" spans="1:7" x14ac:dyDescent="0.2">
      <c r="A92" s="46"/>
      <c r="B92" s="46"/>
      <c r="C92" s="46" t="s">
        <v>300</v>
      </c>
      <c r="D92" s="46"/>
      <c r="E92" s="46"/>
      <c r="F92" s="46"/>
      <c r="G92" s="74">
        <v>179325</v>
      </c>
    </row>
    <row r="93" spans="1:7" ht="16" thickBot="1" x14ac:dyDescent="0.25">
      <c r="A93" s="46"/>
      <c r="B93" s="46"/>
      <c r="C93" s="46" t="s">
        <v>196</v>
      </c>
      <c r="D93" s="46"/>
      <c r="E93" s="46"/>
      <c r="F93" s="46"/>
      <c r="G93" s="75">
        <v>384544.15</v>
      </c>
    </row>
    <row r="94" spans="1:7" ht="16" thickBot="1" x14ac:dyDescent="0.25">
      <c r="A94" s="46"/>
      <c r="B94" s="46" t="s">
        <v>301</v>
      </c>
      <c r="C94" s="46"/>
      <c r="D94" s="46"/>
      <c r="E94" s="46"/>
      <c r="F94" s="46"/>
      <c r="G94" s="77">
        <f>ROUND(SUM(G86:G93),5)</f>
        <v>2089182.71</v>
      </c>
    </row>
    <row r="95" spans="1:7" s="48" customFormat="1" ht="14" thickBot="1" x14ac:dyDescent="0.2">
      <c r="A95" s="46" t="s">
        <v>302</v>
      </c>
      <c r="B95" s="46"/>
      <c r="C95" s="46"/>
      <c r="D95" s="46"/>
      <c r="E95" s="46"/>
      <c r="F95" s="46"/>
      <c r="G95" s="79">
        <f>ROUND(G58+G85+G94,5)</f>
        <v>2561732.75</v>
      </c>
    </row>
    <row r="96" spans="1:7" ht="16" thickTop="1" x14ac:dyDescent="0.2"/>
  </sheetData>
  <pageMargins left="0.7" right="0.7" top="1.0416666666666701" bottom="0.5" header="0.1" footer="0.3"/>
  <pageSetup scale="95" fitToHeight="2" orientation="portrait" r:id="rId1"/>
  <headerFooter>
    <oddHeader>&amp;L&amp;"Arial,Bold"&amp;8 1:47 PM
&amp;"Helvetica,Regular"&amp;10 07/08/19
&amp;"Arial,Bold"&amp;8 Accrual Basis&amp;C&amp;"Helvetica,Regular"&amp;14 Textile Center of Minnesota
&amp;"Helvetica,Regular"&amp;18 Balance Sheet
&amp;"Helvetica,Regular"&amp;12 As of June 30, 2019</oddHeader>
    <oddFooter>&amp;R&amp;"Helvetica,Regular"&amp;10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51"/>
  <sheetViews>
    <sheetView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52" sqref="F52"/>
    </sheetView>
  </sheetViews>
  <sheetFormatPr baseColWidth="10" defaultColWidth="9.1640625" defaultRowHeight="15" x14ac:dyDescent="0.2"/>
  <cols>
    <col min="1" max="4" width="1.6640625" style="88" customWidth="1"/>
    <col min="5" max="5" width="32.5" style="88" customWidth="1"/>
    <col min="6" max="6" width="10.6640625" style="68" bestFit="1" customWidth="1"/>
    <col min="7" max="7" width="2" style="68" customWidth="1"/>
    <col min="8" max="8" width="11.33203125" style="68" bestFit="1" customWidth="1"/>
    <col min="9" max="9" width="2" style="68" customWidth="1"/>
    <col min="10" max="10" width="9.1640625" style="68" bestFit="1" customWidth="1"/>
    <col min="11" max="11" width="2" style="68" customWidth="1"/>
    <col min="12" max="12" width="10.5" style="68" bestFit="1" customWidth="1"/>
    <col min="13" max="13" width="2" style="68" customWidth="1"/>
    <col min="14" max="14" width="11" style="68" bestFit="1" customWidth="1"/>
    <col min="15" max="15" width="2" style="68" customWidth="1"/>
    <col min="16" max="16" width="8.83203125" style="68" bestFit="1" customWidth="1"/>
    <col min="17" max="17" width="2" style="68" customWidth="1"/>
    <col min="18" max="18" width="13.33203125" style="68" customWidth="1"/>
    <col min="19" max="19" width="2" style="53" customWidth="1"/>
    <col min="20" max="20" width="11" style="53" bestFit="1" customWidth="1"/>
    <col min="21" max="21" width="2.33203125" style="53" customWidth="1"/>
    <col min="22" max="22" width="10.1640625" style="53" bestFit="1" customWidth="1"/>
    <col min="23" max="23" width="1.6640625" style="53" customWidth="1"/>
    <col min="24" max="24" width="12.6640625" style="53" customWidth="1"/>
    <col min="25" max="16384" width="9.1640625" style="53"/>
  </cols>
  <sheetData>
    <row r="1" spans="1:24" ht="16" thickBot="1" x14ac:dyDescent="0.25">
      <c r="A1" s="51"/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T1" s="54">
        <f>3/12</f>
        <v>0.25</v>
      </c>
      <c r="U1" s="52"/>
      <c r="V1" s="52"/>
      <c r="W1" s="52"/>
      <c r="X1" s="52"/>
    </row>
    <row r="2" spans="1:24" s="81" customFormat="1" ht="35" customHeight="1" thickBot="1" x14ac:dyDescent="0.25">
      <c r="A2" s="55"/>
      <c r="B2" s="55"/>
      <c r="C2" s="55"/>
      <c r="D2" s="55"/>
      <c r="E2" s="55"/>
      <c r="F2" s="56" t="s">
        <v>200</v>
      </c>
      <c r="G2" s="57"/>
      <c r="H2" s="58" t="s">
        <v>201</v>
      </c>
      <c r="I2" s="57"/>
      <c r="J2" s="59" t="s">
        <v>202</v>
      </c>
      <c r="K2" s="60"/>
      <c r="L2" s="56" t="s">
        <v>197</v>
      </c>
      <c r="M2" s="57"/>
      <c r="N2" s="58" t="s">
        <v>49</v>
      </c>
      <c r="O2" s="57"/>
      <c r="P2" s="59" t="s">
        <v>206</v>
      </c>
      <c r="Q2" s="60"/>
      <c r="R2" s="56" t="s">
        <v>50</v>
      </c>
      <c r="S2" s="61"/>
      <c r="T2" s="59" t="s">
        <v>199</v>
      </c>
      <c r="U2" s="60"/>
      <c r="V2" s="70" t="s">
        <v>207</v>
      </c>
      <c r="W2" s="57"/>
      <c r="X2" s="71" t="s">
        <v>208</v>
      </c>
    </row>
    <row r="3" spans="1:24" x14ac:dyDescent="0.2">
      <c r="A3" s="51"/>
      <c r="B3" s="51" t="s">
        <v>51</v>
      </c>
      <c r="C3" s="51"/>
      <c r="D3" s="51"/>
      <c r="E3" s="51"/>
      <c r="F3" s="62"/>
      <c r="G3" s="51"/>
      <c r="H3" s="62"/>
      <c r="I3" s="51"/>
      <c r="J3" s="72"/>
      <c r="K3" s="51"/>
      <c r="L3" s="62"/>
      <c r="M3" s="51"/>
      <c r="N3" s="62"/>
      <c r="O3" s="51"/>
      <c r="P3" s="72"/>
      <c r="Q3" s="51"/>
      <c r="R3" s="62"/>
    </row>
    <row r="4" spans="1:24" x14ac:dyDescent="0.2">
      <c r="A4" s="51"/>
      <c r="B4" s="51"/>
      <c r="C4" s="51"/>
      <c r="D4" s="51" t="s">
        <v>52</v>
      </c>
      <c r="E4" s="51"/>
      <c r="F4" s="62"/>
      <c r="G4" s="51"/>
      <c r="H4" s="62"/>
      <c r="I4" s="51"/>
      <c r="J4" s="72"/>
      <c r="K4" s="51"/>
      <c r="L4" s="62"/>
      <c r="M4" s="51"/>
      <c r="N4" s="62"/>
      <c r="O4" s="51"/>
      <c r="P4" s="72"/>
      <c r="Q4" s="51"/>
      <c r="R4" s="62"/>
    </row>
    <row r="5" spans="1:24" x14ac:dyDescent="0.2">
      <c r="A5" s="51"/>
      <c r="B5" s="51"/>
      <c r="C5" s="51"/>
      <c r="D5" s="51"/>
      <c r="E5" s="51" t="s">
        <v>53</v>
      </c>
      <c r="F5" s="62">
        <v>30026</v>
      </c>
      <c r="G5" s="51"/>
      <c r="H5" s="62">
        <v>26010</v>
      </c>
      <c r="I5" s="51"/>
      <c r="J5" s="72">
        <f t="shared" ref="J5:J14" si="0">ROUND(IF(H5=0, IF(F5=0, 0, 1), F5/H5),5)</f>
        <v>1.1544000000000001</v>
      </c>
      <c r="K5" s="51"/>
      <c r="L5" s="62">
        <v>149999</v>
      </c>
      <c r="M5" s="51"/>
      <c r="N5" s="62">
        <v>138530</v>
      </c>
      <c r="O5" s="51"/>
      <c r="P5" s="72">
        <f t="shared" ref="P5:P14" si="1">ROUND(IF(N5=0, IF(L5=0, 0, 1), L5/N5),5)</f>
        <v>1.0827899999999999</v>
      </c>
      <c r="Q5" s="51"/>
      <c r="R5" s="62">
        <f>458610-R6</f>
        <v>309610</v>
      </c>
      <c r="T5" s="72">
        <f t="shared" ref="T5:T14" si="2">ROUND(IF(R5=0, IF(L5=0, 0, 1), L5/R5),5)</f>
        <v>0.48448000000000002</v>
      </c>
      <c r="V5" s="62">
        <v>46299</v>
      </c>
      <c r="X5" s="72">
        <f t="shared" ref="X5:X37" si="3">ROUND(IF(V5=0, IF(L5=0, 0, 1), L5/V5),5)</f>
        <v>3.2397900000000002</v>
      </c>
    </row>
    <row r="6" spans="1:24" x14ac:dyDescent="0.2">
      <c r="A6" s="51"/>
      <c r="B6" s="51"/>
      <c r="C6" s="51"/>
      <c r="D6" s="51"/>
      <c r="E6" s="51" t="s">
        <v>57</v>
      </c>
      <c r="F6" s="64">
        <f>12500</f>
        <v>12500</v>
      </c>
      <c r="G6" s="51"/>
      <c r="H6" s="62">
        <v>12500</v>
      </c>
      <c r="I6" s="51"/>
      <c r="J6" s="72">
        <f t="shared" si="0"/>
        <v>1</v>
      </c>
      <c r="K6" s="51"/>
      <c r="L6" s="64">
        <v>20500</v>
      </c>
      <c r="M6" s="51"/>
      <c r="N6" s="62">
        <v>20500</v>
      </c>
      <c r="O6" s="51"/>
      <c r="P6" s="72">
        <f t="shared" si="1"/>
        <v>1</v>
      </c>
      <c r="Q6" s="51"/>
      <c r="R6" s="62">
        <v>149000</v>
      </c>
      <c r="T6" s="72">
        <f t="shared" si="2"/>
        <v>0.13758000000000001</v>
      </c>
      <c r="V6" s="62">
        <v>10000</v>
      </c>
      <c r="X6" s="72">
        <f t="shared" si="3"/>
        <v>2.0499999999999998</v>
      </c>
    </row>
    <row r="7" spans="1:24" x14ac:dyDescent="0.2">
      <c r="A7" s="51"/>
      <c r="B7" s="51"/>
      <c r="C7" s="51"/>
      <c r="D7" s="51"/>
      <c r="E7" s="51" t="s">
        <v>59</v>
      </c>
      <c r="F7" s="62">
        <v>6805</v>
      </c>
      <c r="G7" s="51"/>
      <c r="H7" s="62">
        <v>6525</v>
      </c>
      <c r="I7" s="51"/>
      <c r="J7" s="72">
        <f t="shared" si="0"/>
        <v>1.04291</v>
      </c>
      <c r="K7" s="51"/>
      <c r="L7" s="62">
        <v>27503</v>
      </c>
      <c r="M7" s="51"/>
      <c r="N7" s="62">
        <v>28900</v>
      </c>
      <c r="O7" s="51"/>
      <c r="P7" s="72">
        <f t="shared" si="1"/>
        <v>0.95165999999999995</v>
      </c>
      <c r="Q7" s="51"/>
      <c r="R7" s="62">
        <v>147750</v>
      </c>
      <c r="T7" s="72">
        <f t="shared" si="2"/>
        <v>0.18615000000000001</v>
      </c>
      <c r="V7" s="62">
        <v>31676.55</v>
      </c>
      <c r="X7" s="72">
        <f t="shared" si="3"/>
        <v>0.86824000000000001</v>
      </c>
    </row>
    <row r="8" spans="1:24" x14ac:dyDescent="0.2">
      <c r="A8" s="51"/>
      <c r="B8" s="51"/>
      <c r="C8" s="51"/>
      <c r="D8" s="51"/>
      <c r="E8" s="51" t="s">
        <v>66</v>
      </c>
      <c r="F8" s="62">
        <v>2830</v>
      </c>
      <c r="G8" s="51"/>
      <c r="H8" s="62">
        <v>3785</v>
      </c>
      <c r="I8" s="51"/>
      <c r="J8" s="72">
        <f t="shared" si="0"/>
        <v>0.74768999999999997</v>
      </c>
      <c r="K8" s="51"/>
      <c r="L8" s="62">
        <v>11790</v>
      </c>
      <c r="M8" s="51"/>
      <c r="N8" s="62">
        <v>12930</v>
      </c>
      <c r="O8" s="51"/>
      <c r="P8" s="72">
        <f t="shared" si="1"/>
        <v>0.91183000000000003</v>
      </c>
      <c r="Q8" s="51"/>
      <c r="R8" s="62">
        <v>57010</v>
      </c>
      <c r="T8" s="72">
        <f t="shared" si="2"/>
        <v>0.20680999999999999</v>
      </c>
      <c r="V8" s="62">
        <v>10580</v>
      </c>
      <c r="X8" s="72">
        <f t="shared" si="3"/>
        <v>1.1143700000000001</v>
      </c>
    </row>
    <row r="9" spans="1:24" x14ac:dyDescent="0.2">
      <c r="A9" s="51"/>
      <c r="B9" s="51"/>
      <c r="C9" s="51"/>
      <c r="D9" s="51"/>
      <c r="E9" s="51" t="s">
        <v>71</v>
      </c>
      <c r="F9" s="62">
        <v>4679</v>
      </c>
      <c r="G9" s="51"/>
      <c r="H9" s="62">
        <v>4880</v>
      </c>
      <c r="I9" s="51"/>
      <c r="J9" s="72">
        <f t="shared" si="0"/>
        <v>0.95881000000000005</v>
      </c>
      <c r="K9" s="51"/>
      <c r="L9" s="62">
        <v>16720</v>
      </c>
      <c r="M9" s="51"/>
      <c r="N9" s="62">
        <v>18480</v>
      </c>
      <c r="O9" s="51"/>
      <c r="P9" s="72">
        <f t="shared" si="1"/>
        <v>0.90476000000000001</v>
      </c>
      <c r="Q9" s="51"/>
      <c r="R9" s="62">
        <v>80190</v>
      </c>
      <c r="T9" s="72">
        <f t="shared" si="2"/>
        <v>0.20849999999999999</v>
      </c>
      <c r="V9" s="62">
        <v>19760.400000000001</v>
      </c>
      <c r="X9" s="72">
        <f t="shared" si="3"/>
        <v>0.84614</v>
      </c>
    </row>
    <row r="10" spans="1:24" x14ac:dyDescent="0.2">
      <c r="A10" s="51"/>
      <c r="B10" s="51"/>
      <c r="C10" s="51"/>
      <c r="D10" s="51"/>
      <c r="E10" s="51" t="s">
        <v>78</v>
      </c>
      <c r="F10" s="62">
        <v>22337</v>
      </c>
      <c r="G10" s="51"/>
      <c r="H10" s="62">
        <v>23635</v>
      </c>
      <c r="I10" s="51"/>
      <c r="J10" s="72">
        <f t="shared" si="0"/>
        <v>0.94508000000000003</v>
      </c>
      <c r="K10" s="51"/>
      <c r="L10" s="62">
        <v>80864</v>
      </c>
      <c r="M10" s="51"/>
      <c r="N10" s="62">
        <v>87148</v>
      </c>
      <c r="O10" s="51"/>
      <c r="P10" s="72">
        <f t="shared" si="1"/>
        <v>0.92788999999999999</v>
      </c>
      <c r="Q10" s="51"/>
      <c r="R10" s="62">
        <v>221490</v>
      </c>
      <c r="T10" s="72">
        <f t="shared" si="2"/>
        <v>0.36509000000000003</v>
      </c>
      <c r="V10" s="62">
        <v>86824.960000000006</v>
      </c>
      <c r="X10" s="72">
        <f t="shared" si="3"/>
        <v>0.93135000000000001</v>
      </c>
    </row>
    <row r="11" spans="1:24" x14ac:dyDescent="0.2">
      <c r="A11" s="51"/>
      <c r="B11" s="51"/>
      <c r="C11" s="51"/>
      <c r="D11" s="51"/>
      <c r="E11" s="51" t="s">
        <v>92</v>
      </c>
      <c r="F11" s="62">
        <v>-109</v>
      </c>
      <c r="G11" s="51"/>
      <c r="H11" s="62">
        <v>0</v>
      </c>
      <c r="I11" s="51"/>
      <c r="J11" s="72">
        <f t="shared" si="0"/>
        <v>1</v>
      </c>
      <c r="K11" s="51"/>
      <c r="L11" s="62">
        <v>52843</v>
      </c>
      <c r="M11" s="51"/>
      <c r="N11" s="62">
        <v>82000</v>
      </c>
      <c r="O11" s="51"/>
      <c r="P11" s="72">
        <f t="shared" si="1"/>
        <v>0.64442999999999995</v>
      </c>
      <c r="Q11" s="51"/>
      <c r="R11" s="62">
        <v>129950</v>
      </c>
      <c r="T11" s="72">
        <f t="shared" si="2"/>
        <v>0.40664</v>
      </c>
      <c r="V11" s="62">
        <v>85728.9</v>
      </c>
      <c r="X11" s="72">
        <f t="shared" si="3"/>
        <v>0.61639999999999995</v>
      </c>
    </row>
    <row r="12" spans="1:24" x14ac:dyDescent="0.2">
      <c r="A12" s="51"/>
      <c r="B12" s="51"/>
      <c r="C12" s="51"/>
      <c r="D12" s="51"/>
      <c r="E12" s="51" t="s">
        <v>105</v>
      </c>
      <c r="F12" s="62">
        <v>0</v>
      </c>
      <c r="G12" s="51"/>
      <c r="H12" s="62">
        <v>25</v>
      </c>
      <c r="I12" s="51"/>
      <c r="J12" s="72">
        <f t="shared" si="0"/>
        <v>0</v>
      </c>
      <c r="K12" s="51"/>
      <c r="L12" s="62">
        <v>900</v>
      </c>
      <c r="M12" s="51"/>
      <c r="N12" s="62">
        <v>25</v>
      </c>
      <c r="O12" s="51"/>
      <c r="P12" s="72">
        <f t="shared" si="1"/>
        <v>36</v>
      </c>
      <c r="Q12" s="51"/>
      <c r="R12" s="62">
        <v>100</v>
      </c>
      <c r="T12" s="72">
        <f t="shared" si="2"/>
        <v>9</v>
      </c>
      <c r="V12" s="62">
        <v>4</v>
      </c>
      <c r="X12" s="72">
        <f t="shared" si="3"/>
        <v>225</v>
      </c>
    </row>
    <row r="13" spans="1:24" ht="16" thickBot="1" x14ac:dyDescent="0.25">
      <c r="A13" s="51"/>
      <c r="B13" s="51"/>
      <c r="C13" s="51"/>
      <c r="D13" s="51"/>
      <c r="E13" s="51" t="s">
        <v>106</v>
      </c>
      <c r="F13" s="63">
        <v>17835</v>
      </c>
      <c r="G13" s="51"/>
      <c r="H13" s="63">
        <v>9560</v>
      </c>
      <c r="I13" s="51"/>
      <c r="J13" s="82">
        <f t="shared" si="0"/>
        <v>1.8655900000000001</v>
      </c>
      <c r="K13" s="51"/>
      <c r="L13" s="63">
        <v>35254</v>
      </c>
      <c r="M13" s="51"/>
      <c r="N13" s="63">
        <v>27822</v>
      </c>
      <c r="O13" s="51"/>
      <c r="P13" s="82">
        <f t="shared" si="1"/>
        <v>1.2671300000000001</v>
      </c>
      <c r="Q13" s="51"/>
      <c r="R13" s="63">
        <v>174570</v>
      </c>
      <c r="T13" s="82">
        <f t="shared" si="2"/>
        <v>0.20194999999999999</v>
      </c>
      <c r="V13" s="63">
        <v>32224.22</v>
      </c>
      <c r="X13" s="82">
        <f t="shared" si="3"/>
        <v>1.09402</v>
      </c>
    </row>
    <row r="14" spans="1:24" x14ac:dyDescent="0.2">
      <c r="A14" s="51"/>
      <c r="B14" s="51"/>
      <c r="C14" s="51"/>
      <c r="D14" s="51" t="s">
        <v>112</v>
      </c>
      <c r="E14" s="51"/>
      <c r="F14" s="62">
        <f>ROUND(SUM(F4:F13),5)</f>
        <v>96903</v>
      </c>
      <c r="G14" s="51"/>
      <c r="H14" s="62">
        <f>ROUND(SUM(H4:H13),5)</f>
        <v>86920</v>
      </c>
      <c r="I14" s="51"/>
      <c r="J14" s="72">
        <f t="shared" si="0"/>
        <v>1.1148499999999999</v>
      </c>
      <c r="K14" s="51"/>
      <c r="L14" s="62">
        <f>ROUND(SUM(L4:L13),5)</f>
        <v>396373</v>
      </c>
      <c r="M14" s="51"/>
      <c r="N14" s="62">
        <f>ROUND(SUM(N4:N13),5)</f>
        <v>416335</v>
      </c>
      <c r="O14" s="51"/>
      <c r="P14" s="72">
        <f t="shared" si="1"/>
        <v>0.95204999999999995</v>
      </c>
      <c r="Q14" s="51"/>
      <c r="R14" s="62">
        <f>ROUND(SUM(R4:R13),5)</f>
        <v>1269670</v>
      </c>
      <c r="T14" s="72">
        <f t="shared" si="2"/>
        <v>0.31219000000000002</v>
      </c>
      <c r="U14" s="62"/>
      <c r="V14" s="62">
        <f>ROUND(SUM(V4:V13),5)</f>
        <v>323098.03000000003</v>
      </c>
      <c r="X14" s="72">
        <f t="shared" si="3"/>
        <v>1.22679</v>
      </c>
    </row>
    <row r="15" spans="1:24" x14ac:dyDescent="0.2">
      <c r="A15" s="51"/>
      <c r="B15" s="51"/>
      <c r="C15" s="51"/>
      <c r="D15" s="51"/>
      <c r="E15" s="51"/>
      <c r="F15" s="62"/>
      <c r="G15" s="51"/>
      <c r="H15" s="62"/>
      <c r="I15" s="51"/>
      <c r="J15" s="72"/>
      <c r="K15" s="51"/>
      <c r="L15" s="62"/>
      <c r="M15" s="51"/>
      <c r="N15" s="62"/>
      <c r="O15" s="51"/>
      <c r="P15" s="72"/>
      <c r="Q15" s="51"/>
      <c r="R15" s="62"/>
      <c r="T15" s="72"/>
      <c r="U15" s="62"/>
      <c r="V15" s="62"/>
      <c r="X15" s="72"/>
    </row>
    <row r="16" spans="1:24" x14ac:dyDescent="0.2">
      <c r="A16" s="51"/>
      <c r="B16" s="51"/>
      <c r="C16" s="51"/>
      <c r="D16" s="51" t="s">
        <v>113</v>
      </c>
      <c r="E16" s="51"/>
      <c r="F16" s="62"/>
      <c r="G16" s="51"/>
      <c r="H16" s="62"/>
      <c r="I16" s="51"/>
      <c r="J16" s="72"/>
      <c r="K16" s="51"/>
      <c r="L16" s="62"/>
      <c r="M16" s="51"/>
      <c r="N16" s="62"/>
      <c r="O16" s="51"/>
      <c r="P16" s="72"/>
      <c r="Q16" s="51"/>
      <c r="R16" s="62"/>
      <c r="T16" s="72"/>
      <c r="V16" s="62"/>
      <c r="X16" s="72"/>
    </row>
    <row r="17" spans="1:26" x14ac:dyDescent="0.2">
      <c r="A17" s="51"/>
      <c r="B17" s="51"/>
      <c r="C17" s="51"/>
      <c r="D17" s="51"/>
      <c r="E17" s="51" t="s">
        <v>114</v>
      </c>
      <c r="F17" s="62">
        <v>393</v>
      </c>
      <c r="G17" s="51"/>
      <c r="H17" s="62">
        <v>300</v>
      </c>
      <c r="I17" s="51"/>
      <c r="J17" s="72">
        <f t="shared" ref="J17:J25" si="4">ROUND(IF(H17=0, IF(F17=0, 0, 1), F17/H17),5)</f>
        <v>1.31</v>
      </c>
      <c r="K17" s="51"/>
      <c r="L17" s="62">
        <v>813</v>
      </c>
      <c r="M17" s="51"/>
      <c r="N17" s="62">
        <v>900</v>
      </c>
      <c r="O17" s="51"/>
      <c r="P17" s="72">
        <f t="shared" ref="P17:P25" si="5">ROUND(IF(N17=0, IF(L17=0, 0, 1), L17/N17),5)</f>
        <v>0.90332999999999997</v>
      </c>
      <c r="Q17" s="51"/>
      <c r="R17" s="62">
        <v>6000</v>
      </c>
      <c r="T17" s="72">
        <f t="shared" ref="T17:T25" si="6">ROUND(IF(R17=0, IF(L17=0, 0, 1), L17/R17),5)</f>
        <v>0.13550000000000001</v>
      </c>
      <c r="V17" s="62">
        <v>2409</v>
      </c>
      <c r="X17" s="72">
        <f t="shared" si="3"/>
        <v>0.33748</v>
      </c>
    </row>
    <row r="18" spans="1:26" x14ac:dyDescent="0.2">
      <c r="A18" s="51"/>
      <c r="B18" s="51"/>
      <c r="C18" s="51"/>
      <c r="D18" s="51"/>
      <c r="E18" s="51" t="s">
        <v>115</v>
      </c>
      <c r="F18" s="62">
        <v>7976</v>
      </c>
      <c r="G18" s="51"/>
      <c r="H18" s="62">
        <v>4276</v>
      </c>
      <c r="I18" s="51"/>
      <c r="J18" s="72">
        <f t="shared" si="4"/>
        <v>1.8652899999999999</v>
      </c>
      <c r="K18" s="51"/>
      <c r="L18" s="62">
        <v>14188</v>
      </c>
      <c r="M18" s="51"/>
      <c r="N18" s="62">
        <v>11824</v>
      </c>
      <c r="O18" s="51"/>
      <c r="P18" s="72">
        <f t="shared" si="5"/>
        <v>1.1999299999999999</v>
      </c>
      <c r="Q18" s="51"/>
      <c r="R18" s="62">
        <v>75730</v>
      </c>
      <c r="T18" s="72">
        <f t="shared" si="6"/>
        <v>0.18734999999999999</v>
      </c>
      <c r="V18" s="62">
        <v>12101.3</v>
      </c>
      <c r="X18" s="72">
        <f t="shared" si="3"/>
        <v>1.1724399999999999</v>
      </c>
    </row>
    <row r="19" spans="1:26" x14ac:dyDescent="0.2">
      <c r="A19" s="51"/>
      <c r="B19" s="51"/>
      <c r="C19" s="51"/>
      <c r="D19" s="51"/>
      <c r="E19" s="51" t="s">
        <v>116</v>
      </c>
      <c r="F19" s="62">
        <v>2724</v>
      </c>
      <c r="G19" s="51"/>
      <c r="H19" s="62">
        <v>1113</v>
      </c>
      <c r="I19" s="51"/>
      <c r="J19" s="72">
        <f t="shared" si="4"/>
        <v>2.4474399999999998</v>
      </c>
      <c r="K19" s="51"/>
      <c r="L19" s="62">
        <v>5710</v>
      </c>
      <c r="M19" s="51"/>
      <c r="N19" s="62">
        <v>3617</v>
      </c>
      <c r="O19" s="51"/>
      <c r="P19" s="72">
        <f t="shared" si="5"/>
        <v>1.57866</v>
      </c>
      <c r="Q19" s="51"/>
      <c r="R19" s="62">
        <v>22260</v>
      </c>
      <c r="T19" s="72">
        <f t="shared" si="6"/>
        <v>0.25651000000000002</v>
      </c>
      <c r="V19" s="62">
        <v>6044.75</v>
      </c>
      <c r="X19" s="72">
        <f t="shared" si="3"/>
        <v>0.94462000000000002</v>
      </c>
    </row>
    <row r="20" spans="1:26" x14ac:dyDescent="0.2">
      <c r="A20" s="51"/>
      <c r="B20" s="51"/>
      <c r="C20" s="51"/>
      <c r="D20" s="51"/>
      <c r="E20" s="51" t="s">
        <v>117</v>
      </c>
      <c r="F20" s="62">
        <v>1360</v>
      </c>
      <c r="G20" s="51"/>
      <c r="H20" s="62">
        <v>560</v>
      </c>
      <c r="I20" s="51"/>
      <c r="J20" s="72">
        <f t="shared" si="4"/>
        <v>2.4285700000000001</v>
      </c>
      <c r="K20" s="51"/>
      <c r="L20" s="62">
        <v>2260</v>
      </c>
      <c r="M20" s="51"/>
      <c r="N20" s="62">
        <v>1820</v>
      </c>
      <c r="O20" s="51"/>
      <c r="P20" s="72">
        <f t="shared" si="5"/>
        <v>1.24176</v>
      </c>
      <c r="Q20" s="51"/>
      <c r="R20" s="62">
        <v>11200</v>
      </c>
      <c r="T20" s="72">
        <f t="shared" si="6"/>
        <v>0.20179</v>
      </c>
      <c r="V20" s="62">
        <v>1804.18</v>
      </c>
      <c r="X20" s="72">
        <f t="shared" si="3"/>
        <v>1.25265</v>
      </c>
    </row>
    <row r="21" spans="1:26" x14ac:dyDescent="0.2">
      <c r="A21" s="51"/>
      <c r="B21" s="51"/>
      <c r="C21" s="51"/>
      <c r="D21" s="51"/>
      <c r="E21" s="51" t="s">
        <v>118</v>
      </c>
      <c r="F21" s="62">
        <v>3</v>
      </c>
      <c r="G21" s="51"/>
      <c r="H21" s="62">
        <v>-10</v>
      </c>
      <c r="I21" s="51"/>
      <c r="J21" s="72">
        <f t="shared" si="4"/>
        <v>-0.3</v>
      </c>
      <c r="K21" s="51"/>
      <c r="L21" s="62">
        <v>5</v>
      </c>
      <c r="M21" s="51"/>
      <c r="N21" s="62">
        <v>-25</v>
      </c>
      <c r="O21" s="51"/>
      <c r="P21" s="72">
        <f t="shared" si="5"/>
        <v>-0.2</v>
      </c>
      <c r="Q21" s="51"/>
      <c r="R21" s="62">
        <v>-600</v>
      </c>
      <c r="T21" s="72">
        <f t="shared" si="6"/>
        <v>-8.3300000000000006E-3</v>
      </c>
      <c r="V21" s="62">
        <v>-17.34</v>
      </c>
      <c r="X21" s="72">
        <f t="shared" si="3"/>
        <v>-0.28835</v>
      </c>
    </row>
    <row r="22" spans="1:26" ht="16" thickBot="1" x14ac:dyDescent="0.25">
      <c r="A22" s="51"/>
      <c r="B22" s="51"/>
      <c r="C22" s="51"/>
      <c r="D22" s="51"/>
      <c r="E22" s="51" t="s">
        <v>119</v>
      </c>
      <c r="F22" s="64">
        <v>93</v>
      </c>
      <c r="G22" s="51"/>
      <c r="H22" s="64">
        <v>50</v>
      </c>
      <c r="I22" s="51"/>
      <c r="J22" s="83">
        <f t="shared" si="4"/>
        <v>1.86</v>
      </c>
      <c r="K22" s="51"/>
      <c r="L22" s="64">
        <v>210</v>
      </c>
      <c r="M22" s="51"/>
      <c r="N22" s="64">
        <v>200</v>
      </c>
      <c r="O22" s="51"/>
      <c r="P22" s="83">
        <f t="shared" si="5"/>
        <v>1.05</v>
      </c>
      <c r="Q22" s="51"/>
      <c r="R22" s="64">
        <v>1000</v>
      </c>
      <c r="T22" s="83">
        <f t="shared" si="6"/>
        <v>0.21</v>
      </c>
      <c r="V22" s="64">
        <v>159.94999999999999</v>
      </c>
      <c r="X22" s="83">
        <f t="shared" si="3"/>
        <v>1.31291</v>
      </c>
      <c r="Z22" s="89"/>
    </row>
    <row r="23" spans="1:26" ht="16" thickBot="1" x14ac:dyDescent="0.25">
      <c r="A23" s="51"/>
      <c r="B23" s="51"/>
      <c r="C23" s="51"/>
      <c r="D23" s="51" t="s">
        <v>120</v>
      </c>
      <c r="E23" s="51"/>
      <c r="F23" s="65">
        <f>ROUND(SUM(F16:F22),5)</f>
        <v>12549</v>
      </c>
      <c r="G23" s="51"/>
      <c r="H23" s="65">
        <f>ROUND(SUM(H16:H22),5)</f>
        <v>6289</v>
      </c>
      <c r="I23" s="51"/>
      <c r="J23" s="84">
        <f t="shared" si="4"/>
        <v>1.99539</v>
      </c>
      <c r="K23" s="51"/>
      <c r="L23" s="65">
        <f>ROUND(SUM(L16:L22),5)</f>
        <v>23186</v>
      </c>
      <c r="M23" s="51"/>
      <c r="N23" s="65">
        <f>ROUND(SUM(N16:N22),5)</f>
        <v>18336</v>
      </c>
      <c r="O23" s="51"/>
      <c r="P23" s="84">
        <f t="shared" si="5"/>
        <v>1.26451</v>
      </c>
      <c r="Q23" s="51"/>
      <c r="R23" s="65">
        <f>ROUND(SUM(R16:R22),5)</f>
        <v>115590</v>
      </c>
      <c r="T23" s="84">
        <f t="shared" si="6"/>
        <v>0.20058999999999999</v>
      </c>
      <c r="V23" s="65">
        <f>ROUND(SUM(V16:V22),5)</f>
        <v>22501.84</v>
      </c>
      <c r="X23" s="84">
        <f t="shared" si="3"/>
        <v>1.0304</v>
      </c>
    </row>
    <row r="24" spans="1:26" x14ac:dyDescent="0.2">
      <c r="A24" s="51"/>
      <c r="B24" s="51"/>
      <c r="C24" s="51"/>
      <c r="D24" s="51"/>
      <c r="E24" s="51"/>
      <c r="F24" s="64"/>
      <c r="G24" s="51"/>
      <c r="H24" s="64"/>
      <c r="I24" s="51"/>
      <c r="J24" s="83"/>
      <c r="K24" s="51"/>
      <c r="L24" s="64"/>
      <c r="M24" s="51"/>
      <c r="N24" s="64"/>
      <c r="O24" s="51"/>
      <c r="P24" s="83"/>
      <c r="Q24" s="51"/>
      <c r="R24" s="64"/>
      <c r="T24" s="83"/>
      <c r="V24" s="64"/>
      <c r="X24" s="83"/>
    </row>
    <row r="25" spans="1:26" x14ac:dyDescent="0.2">
      <c r="A25" s="51"/>
      <c r="B25" s="51"/>
      <c r="C25" s="51" t="s">
        <v>121</v>
      </c>
      <c r="D25" s="51"/>
      <c r="E25" s="51"/>
      <c r="F25" s="62">
        <f>ROUND(F14-F23,5)</f>
        <v>84354</v>
      </c>
      <c r="G25" s="51"/>
      <c r="H25" s="62">
        <f>ROUND(H14-H23,5)</f>
        <v>80631</v>
      </c>
      <c r="I25" s="51"/>
      <c r="J25" s="72">
        <f t="shared" si="4"/>
        <v>1.04617</v>
      </c>
      <c r="K25" s="51"/>
      <c r="L25" s="62">
        <f>ROUND(L14-L23,5)</f>
        <v>373187</v>
      </c>
      <c r="M25" s="51"/>
      <c r="N25" s="62">
        <f>ROUND(N14-N23,5)</f>
        <v>397999</v>
      </c>
      <c r="O25" s="51"/>
      <c r="P25" s="72">
        <f t="shared" si="5"/>
        <v>0.93766000000000005</v>
      </c>
      <c r="Q25" s="51"/>
      <c r="R25" s="62">
        <f>ROUND(R14-R23,5)</f>
        <v>1154080</v>
      </c>
      <c r="T25" s="72">
        <f t="shared" si="6"/>
        <v>0.32335999999999998</v>
      </c>
      <c r="V25" s="62">
        <f>ROUND(V14-V23,5)</f>
        <v>300596.19</v>
      </c>
      <c r="X25" s="72">
        <f t="shared" si="3"/>
        <v>1.24149</v>
      </c>
    </row>
    <row r="26" spans="1:26" x14ac:dyDescent="0.2">
      <c r="A26" s="51"/>
      <c r="B26" s="51"/>
      <c r="C26" s="51"/>
      <c r="D26" s="51"/>
      <c r="E26" s="51"/>
      <c r="F26" s="62"/>
      <c r="G26" s="51"/>
      <c r="H26" s="62"/>
      <c r="I26" s="51"/>
      <c r="J26" s="72"/>
      <c r="K26" s="51"/>
      <c r="L26" s="62"/>
      <c r="M26" s="51"/>
      <c r="N26" s="62"/>
      <c r="O26" s="51"/>
      <c r="P26" s="72"/>
      <c r="Q26" s="51"/>
      <c r="R26" s="62"/>
      <c r="T26" s="72"/>
      <c r="V26" s="62"/>
      <c r="X26" s="72"/>
    </row>
    <row r="27" spans="1:26" x14ac:dyDescent="0.2">
      <c r="A27" s="51"/>
      <c r="B27" s="51"/>
      <c r="C27" s="51"/>
      <c r="D27" s="51" t="s">
        <v>122</v>
      </c>
      <c r="E27" s="51"/>
      <c r="F27" s="62"/>
      <c r="G27" s="51"/>
      <c r="H27" s="62"/>
      <c r="I27" s="51"/>
      <c r="J27" s="72"/>
      <c r="K27" s="51"/>
      <c r="L27" s="62"/>
      <c r="M27" s="51"/>
      <c r="N27" s="62"/>
      <c r="O27" s="51"/>
      <c r="P27" s="72"/>
      <c r="Q27" s="51"/>
      <c r="R27" s="62"/>
      <c r="T27" s="72"/>
      <c r="V27" s="62"/>
      <c r="X27" s="72"/>
    </row>
    <row r="28" spans="1:26" x14ac:dyDescent="0.2">
      <c r="A28" s="51"/>
      <c r="B28" s="51"/>
      <c r="C28" s="51"/>
      <c r="D28" s="51"/>
      <c r="E28" s="51" t="s">
        <v>123</v>
      </c>
      <c r="F28" s="62">
        <v>46802</v>
      </c>
      <c r="G28" s="51"/>
      <c r="H28" s="62">
        <v>53162</v>
      </c>
      <c r="I28" s="51"/>
      <c r="J28" s="72">
        <f t="shared" ref="J28:J37" si="7">ROUND(IF(H28=0, IF(F28=0, 0, 1), F28/H28),5)</f>
        <v>0.88036999999999999</v>
      </c>
      <c r="K28" s="51"/>
      <c r="L28" s="62">
        <v>153559</v>
      </c>
      <c r="M28" s="51"/>
      <c r="N28" s="62">
        <v>167491</v>
      </c>
      <c r="O28" s="51"/>
      <c r="P28" s="72">
        <f t="shared" ref="P28:P37" si="8">ROUND(IF(N28=0, IF(L28=0, 0, 1), L28/N28),5)</f>
        <v>0.91681999999999997</v>
      </c>
      <c r="Q28" s="51"/>
      <c r="R28" s="62">
        <v>691170</v>
      </c>
      <c r="T28" s="72">
        <f t="shared" ref="T28:T37" si="9">ROUND(IF(R28=0, IF(L28=0, 0, 1), L28/R28),5)</f>
        <v>0.22217000000000001</v>
      </c>
      <c r="V28" s="62">
        <v>143908.42000000001</v>
      </c>
      <c r="X28" s="72">
        <f t="shared" si="3"/>
        <v>1.0670599999999999</v>
      </c>
    </row>
    <row r="29" spans="1:26" x14ac:dyDescent="0.2">
      <c r="A29" s="51"/>
      <c r="B29" s="51"/>
      <c r="C29" s="51"/>
      <c r="D29" s="51"/>
      <c r="E29" s="51" t="s">
        <v>131</v>
      </c>
      <c r="F29" s="62">
        <v>1064</v>
      </c>
      <c r="G29" s="51"/>
      <c r="H29" s="62">
        <v>1041</v>
      </c>
      <c r="I29" s="51"/>
      <c r="J29" s="72">
        <f t="shared" si="7"/>
        <v>1.0220899999999999</v>
      </c>
      <c r="K29" s="51"/>
      <c r="L29" s="62">
        <v>10501</v>
      </c>
      <c r="M29" s="51"/>
      <c r="N29" s="62">
        <v>8215</v>
      </c>
      <c r="O29" s="51"/>
      <c r="P29" s="72">
        <f t="shared" si="8"/>
        <v>1.27827</v>
      </c>
      <c r="Q29" s="51"/>
      <c r="R29" s="62">
        <v>79000</v>
      </c>
      <c r="T29" s="72">
        <f t="shared" si="9"/>
        <v>0.13292000000000001</v>
      </c>
      <c r="V29" s="62">
        <v>24906.53</v>
      </c>
      <c r="X29" s="72">
        <f t="shared" si="3"/>
        <v>0.42161999999999999</v>
      </c>
    </row>
    <row r="30" spans="1:26" x14ac:dyDescent="0.2">
      <c r="A30" s="51"/>
      <c r="B30" s="51"/>
      <c r="C30" s="51"/>
      <c r="D30" s="51"/>
      <c r="E30" s="51" t="s">
        <v>140</v>
      </c>
      <c r="F30" s="62">
        <v>14488</v>
      </c>
      <c r="G30" s="51"/>
      <c r="H30" s="62">
        <v>12125</v>
      </c>
      <c r="I30" s="51"/>
      <c r="J30" s="72">
        <f t="shared" si="7"/>
        <v>1.19489</v>
      </c>
      <c r="K30" s="51"/>
      <c r="L30" s="62">
        <v>27199</v>
      </c>
      <c r="M30" s="51"/>
      <c r="N30" s="62">
        <v>23787</v>
      </c>
      <c r="O30" s="51"/>
      <c r="P30" s="72">
        <f t="shared" si="8"/>
        <v>1.14344</v>
      </c>
      <c r="Q30" s="51"/>
      <c r="R30" s="62">
        <v>185070</v>
      </c>
      <c r="T30" s="72">
        <f t="shared" si="9"/>
        <v>0.14696999999999999</v>
      </c>
      <c r="V30" s="62">
        <v>30476.92</v>
      </c>
      <c r="X30" s="72">
        <f t="shared" si="3"/>
        <v>0.89244999999999997</v>
      </c>
    </row>
    <row r="31" spans="1:26" x14ac:dyDescent="0.2">
      <c r="A31" s="51"/>
      <c r="B31" s="51"/>
      <c r="C31" s="51"/>
      <c r="D31" s="51"/>
      <c r="E31" s="51" t="s">
        <v>148</v>
      </c>
      <c r="F31" s="62">
        <v>10032</v>
      </c>
      <c r="G31" s="51"/>
      <c r="H31" s="62">
        <v>11954</v>
      </c>
      <c r="I31" s="51"/>
      <c r="J31" s="72">
        <f t="shared" si="7"/>
        <v>0.83921999999999997</v>
      </c>
      <c r="K31" s="51"/>
      <c r="L31" s="62">
        <v>27947</v>
      </c>
      <c r="M31" s="51"/>
      <c r="N31" s="62">
        <v>31430</v>
      </c>
      <c r="O31" s="51"/>
      <c r="P31" s="72">
        <f t="shared" si="8"/>
        <v>0.88917999999999997</v>
      </c>
      <c r="Q31" s="51"/>
      <c r="R31" s="62">
        <v>127340</v>
      </c>
      <c r="T31" s="72">
        <f t="shared" si="9"/>
        <v>0.21947</v>
      </c>
      <c r="V31" s="62">
        <v>33343.86</v>
      </c>
      <c r="X31" s="72">
        <f t="shared" si="3"/>
        <v>0.83814999999999995</v>
      </c>
    </row>
    <row r="32" spans="1:26" x14ac:dyDescent="0.2">
      <c r="A32" s="51"/>
      <c r="B32" s="51"/>
      <c r="C32" s="51"/>
      <c r="D32" s="51"/>
      <c r="E32" s="51" t="s">
        <v>159</v>
      </c>
      <c r="F32" s="62">
        <v>1475</v>
      </c>
      <c r="G32" s="51"/>
      <c r="H32" s="62">
        <v>744</v>
      </c>
      <c r="I32" s="51"/>
      <c r="J32" s="72">
        <f t="shared" si="7"/>
        <v>1.9825299999999999</v>
      </c>
      <c r="K32" s="51"/>
      <c r="L32" s="62">
        <v>6338</v>
      </c>
      <c r="M32" s="51"/>
      <c r="N32" s="62">
        <v>3765</v>
      </c>
      <c r="O32" s="51"/>
      <c r="P32" s="72">
        <f t="shared" si="8"/>
        <v>1.6834</v>
      </c>
      <c r="Q32" s="51"/>
      <c r="R32" s="62">
        <v>33150</v>
      </c>
      <c r="T32" s="72">
        <f t="shared" si="9"/>
        <v>0.19119</v>
      </c>
      <c r="V32" s="62">
        <v>4715.58</v>
      </c>
      <c r="X32" s="72">
        <f t="shared" si="3"/>
        <v>1.34406</v>
      </c>
    </row>
    <row r="33" spans="1:24" x14ac:dyDescent="0.2">
      <c r="A33" s="51"/>
      <c r="B33" s="51"/>
      <c r="C33" s="51"/>
      <c r="D33" s="51"/>
      <c r="E33" s="51" t="s">
        <v>165</v>
      </c>
      <c r="F33" s="62">
        <v>3624</v>
      </c>
      <c r="G33" s="51"/>
      <c r="H33" s="62">
        <v>3560</v>
      </c>
      <c r="I33" s="51"/>
      <c r="J33" s="72">
        <f t="shared" si="7"/>
        <v>1.0179800000000001</v>
      </c>
      <c r="K33" s="51"/>
      <c r="L33" s="62">
        <v>6768</v>
      </c>
      <c r="M33" s="51"/>
      <c r="N33" s="62">
        <v>5930</v>
      </c>
      <c r="O33" s="51"/>
      <c r="P33" s="72">
        <f t="shared" si="8"/>
        <v>1.1413199999999999</v>
      </c>
      <c r="Q33" s="51"/>
      <c r="R33" s="62">
        <v>34650</v>
      </c>
      <c r="T33" s="72">
        <f t="shared" si="9"/>
        <v>0.19531999999999999</v>
      </c>
      <c r="V33" s="62">
        <v>3961.15</v>
      </c>
      <c r="X33" s="72">
        <f t="shared" si="3"/>
        <v>1.7085900000000001</v>
      </c>
    </row>
    <row r="34" spans="1:24" x14ac:dyDescent="0.2">
      <c r="A34" s="51"/>
      <c r="B34" s="51"/>
      <c r="C34" s="51"/>
      <c r="D34" s="51"/>
      <c r="E34" s="51" t="s">
        <v>170</v>
      </c>
      <c r="F34" s="62">
        <v>3762</v>
      </c>
      <c r="G34" s="51"/>
      <c r="H34" s="62">
        <v>3055</v>
      </c>
      <c r="I34" s="51"/>
      <c r="J34" s="72">
        <f t="shared" si="7"/>
        <v>1.23142</v>
      </c>
      <c r="K34" s="51"/>
      <c r="L34" s="62">
        <v>10454</v>
      </c>
      <c r="M34" s="51"/>
      <c r="N34" s="62">
        <v>11000</v>
      </c>
      <c r="O34" s="51"/>
      <c r="P34" s="72">
        <f t="shared" si="8"/>
        <v>0.95035999999999998</v>
      </c>
      <c r="Q34" s="51"/>
      <c r="R34" s="62">
        <v>41000</v>
      </c>
      <c r="T34" s="72">
        <f t="shared" si="9"/>
        <v>0.25497999999999998</v>
      </c>
      <c r="V34" s="62">
        <v>8671.69</v>
      </c>
      <c r="X34" s="72">
        <f t="shared" si="3"/>
        <v>1.20553</v>
      </c>
    </row>
    <row r="35" spans="1:24" ht="16" thickBot="1" x14ac:dyDescent="0.25">
      <c r="A35" s="51"/>
      <c r="B35" s="51"/>
      <c r="C35" s="51"/>
      <c r="D35" s="51"/>
      <c r="E35" s="51" t="s">
        <v>179</v>
      </c>
      <c r="F35" s="64">
        <v>2531</v>
      </c>
      <c r="G35" s="51"/>
      <c r="H35" s="64">
        <v>2582</v>
      </c>
      <c r="I35" s="51"/>
      <c r="J35" s="83">
        <f t="shared" si="7"/>
        <v>0.98024999999999995</v>
      </c>
      <c r="K35" s="51"/>
      <c r="L35" s="64">
        <v>9572</v>
      </c>
      <c r="M35" s="51"/>
      <c r="N35" s="64">
        <v>8731</v>
      </c>
      <c r="O35" s="51"/>
      <c r="P35" s="83">
        <f t="shared" si="8"/>
        <v>1.09632</v>
      </c>
      <c r="Q35" s="51"/>
      <c r="R35" s="64">
        <v>32370</v>
      </c>
      <c r="T35" s="83">
        <f t="shared" si="9"/>
        <v>0.29570999999999997</v>
      </c>
      <c r="V35" s="64">
        <v>8309.66</v>
      </c>
      <c r="X35" s="83">
        <f t="shared" si="3"/>
        <v>1.15191</v>
      </c>
    </row>
    <row r="36" spans="1:24" ht="16" thickBot="1" x14ac:dyDescent="0.25">
      <c r="A36" s="51"/>
      <c r="B36" s="51"/>
      <c r="C36" s="51"/>
      <c r="D36" s="51" t="s">
        <v>184</v>
      </c>
      <c r="E36" s="51"/>
      <c r="F36" s="65">
        <f>ROUND(SUM(F27:F35),5)</f>
        <v>83778</v>
      </c>
      <c r="G36" s="51"/>
      <c r="H36" s="65">
        <f>ROUND(SUM(H27:H35),5)</f>
        <v>88223</v>
      </c>
      <c r="I36" s="51"/>
      <c r="J36" s="84">
        <f t="shared" si="7"/>
        <v>0.94962000000000002</v>
      </c>
      <c r="K36" s="51"/>
      <c r="L36" s="65">
        <f>ROUND(SUM(L27:L35),5)</f>
        <v>252338</v>
      </c>
      <c r="M36" s="51"/>
      <c r="N36" s="65">
        <f>ROUND(SUM(N27:N35),5)</f>
        <v>260349</v>
      </c>
      <c r="O36" s="51"/>
      <c r="P36" s="84">
        <f t="shared" si="8"/>
        <v>0.96923000000000004</v>
      </c>
      <c r="Q36" s="51"/>
      <c r="R36" s="65">
        <f>ROUND(SUM(R27:R35),5)</f>
        <v>1223750</v>
      </c>
      <c r="T36" s="84">
        <f t="shared" si="9"/>
        <v>0.20619999999999999</v>
      </c>
      <c r="V36" s="65">
        <f>ROUND(SUM(V27:V35),5)</f>
        <v>258293.81</v>
      </c>
      <c r="X36" s="84">
        <f t="shared" si="3"/>
        <v>0.97694000000000003</v>
      </c>
    </row>
    <row r="37" spans="1:24" x14ac:dyDescent="0.2">
      <c r="A37" s="51"/>
      <c r="B37" s="51" t="s">
        <v>185</v>
      </c>
      <c r="C37" s="51"/>
      <c r="D37" s="51"/>
      <c r="E37" s="51"/>
      <c r="F37" s="62">
        <f>ROUND(F3+F25-F36,5)</f>
        <v>576</v>
      </c>
      <c r="G37" s="51"/>
      <c r="H37" s="62">
        <f>ROUND(H3+H25-H36,5)</f>
        <v>-7592</v>
      </c>
      <c r="I37" s="51"/>
      <c r="J37" s="72">
        <f t="shared" si="7"/>
        <v>-7.5870000000000007E-2</v>
      </c>
      <c r="K37" s="51"/>
      <c r="L37" s="62">
        <f>ROUND(L3+L25-L36,5)</f>
        <v>120849</v>
      </c>
      <c r="M37" s="51"/>
      <c r="N37" s="62">
        <f>ROUND(N3+N25-N36,5)</f>
        <v>137650</v>
      </c>
      <c r="O37" s="51"/>
      <c r="P37" s="72">
        <f t="shared" si="8"/>
        <v>0.87794000000000005</v>
      </c>
      <c r="Q37" s="51"/>
      <c r="R37" s="62">
        <f>ROUND(R3+R25-R36,5)</f>
        <v>-69670</v>
      </c>
      <c r="T37" s="72">
        <f t="shared" si="9"/>
        <v>-1.7345900000000001</v>
      </c>
      <c r="V37" s="62">
        <f>ROUND(V3+V25-V36,5)</f>
        <v>42302.38</v>
      </c>
      <c r="X37" s="72">
        <f t="shared" si="3"/>
        <v>2.8567900000000002</v>
      </c>
    </row>
    <row r="38" spans="1:24" x14ac:dyDescent="0.2">
      <c r="A38" s="51"/>
      <c r="B38" s="51"/>
      <c r="C38" s="51"/>
      <c r="D38" s="51"/>
      <c r="E38" s="51"/>
      <c r="F38" s="62"/>
      <c r="G38" s="51"/>
      <c r="H38" s="62"/>
      <c r="I38" s="51"/>
      <c r="J38" s="72"/>
      <c r="K38" s="51"/>
      <c r="L38" s="62"/>
      <c r="M38" s="51"/>
      <c r="N38" s="62"/>
      <c r="O38" s="51"/>
      <c r="P38" s="72"/>
      <c r="Q38" s="51"/>
      <c r="R38" s="62"/>
      <c r="T38" s="72"/>
      <c r="V38" s="62"/>
      <c r="X38" s="72"/>
    </row>
    <row r="39" spans="1:24" x14ac:dyDescent="0.2">
      <c r="A39" s="51"/>
      <c r="B39" s="51" t="s">
        <v>186</v>
      </c>
      <c r="C39" s="51"/>
      <c r="D39" s="51"/>
      <c r="E39" s="51"/>
      <c r="F39" s="62"/>
      <c r="G39" s="51"/>
      <c r="H39" s="62"/>
      <c r="I39" s="51"/>
      <c r="J39" s="72"/>
      <c r="K39" s="51"/>
      <c r="L39" s="62"/>
      <c r="M39" s="51"/>
      <c r="N39" s="62"/>
      <c r="O39" s="51"/>
      <c r="P39" s="72"/>
      <c r="Q39" s="51"/>
      <c r="R39" s="62"/>
      <c r="T39" s="72"/>
      <c r="V39" s="62"/>
      <c r="X39" s="72"/>
    </row>
    <row r="40" spans="1:24" x14ac:dyDescent="0.2">
      <c r="A40" s="51"/>
      <c r="B40" s="51"/>
      <c r="C40" s="51" t="s">
        <v>187</v>
      </c>
      <c r="D40" s="51"/>
      <c r="E40" s="51"/>
      <c r="F40" s="62"/>
      <c r="G40" s="51"/>
      <c r="H40" s="62"/>
      <c r="I40" s="51"/>
      <c r="J40" s="72"/>
      <c r="K40" s="51"/>
      <c r="L40" s="62"/>
      <c r="M40" s="51"/>
      <c r="N40" s="62"/>
      <c r="O40" s="51"/>
      <c r="P40" s="72"/>
      <c r="Q40" s="51"/>
      <c r="R40" s="62"/>
      <c r="T40" s="72"/>
      <c r="V40" s="62"/>
      <c r="X40" s="72"/>
    </row>
    <row r="41" spans="1:24" x14ac:dyDescent="0.2">
      <c r="A41" s="51"/>
      <c r="B41" s="51"/>
      <c r="C41" s="51"/>
      <c r="D41" s="51" t="s">
        <v>188</v>
      </c>
      <c r="E41" s="51"/>
      <c r="F41" s="62">
        <v>0</v>
      </c>
      <c r="G41" s="51"/>
      <c r="H41" s="62">
        <v>0</v>
      </c>
      <c r="I41" s="51"/>
      <c r="J41" s="72">
        <f t="shared" ref="J41:J47" si="10">ROUND(IF(H41=0, IF(F41=0, 0, 1), F41/H41),5)</f>
        <v>0</v>
      </c>
      <c r="K41" s="51"/>
      <c r="L41" s="62">
        <v>0</v>
      </c>
      <c r="M41" s="51"/>
      <c r="N41" s="62">
        <v>0</v>
      </c>
      <c r="O41" s="51"/>
      <c r="P41" s="72">
        <f t="shared" ref="P41:P47" si="11">ROUND(IF(N41=0, IF(L41=0, 0, 1), L41/N41),5)</f>
        <v>0</v>
      </c>
      <c r="Q41" s="51"/>
      <c r="R41" s="62">
        <v>70000</v>
      </c>
      <c r="T41" s="72">
        <f t="shared" ref="T41:T47" si="12">ROUND(IF(R41=0, IF(L41=0, 0, 1), L41/R41),5)</f>
        <v>0</v>
      </c>
      <c r="V41" s="62">
        <v>0</v>
      </c>
      <c r="X41" s="72">
        <f t="shared" ref="X41:X47" si="13">ROUND(IF(V41=0, IF(L41=0, 0, 1), L41/V41),5)</f>
        <v>0</v>
      </c>
    </row>
    <row r="42" spans="1:24" x14ac:dyDescent="0.2">
      <c r="A42" s="51"/>
      <c r="B42" s="51"/>
      <c r="C42" s="51"/>
      <c r="D42" s="51" t="s">
        <v>191</v>
      </c>
      <c r="E42" s="51"/>
      <c r="F42" s="62">
        <v>8</v>
      </c>
      <c r="G42" s="51"/>
      <c r="H42" s="62">
        <v>0</v>
      </c>
      <c r="I42" s="51"/>
      <c r="J42" s="72">
        <f t="shared" si="10"/>
        <v>1</v>
      </c>
      <c r="K42" s="51"/>
      <c r="L42" s="62">
        <v>21</v>
      </c>
      <c r="M42" s="51"/>
      <c r="N42" s="62">
        <v>0</v>
      </c>
      <c r="O42" s="51"/>
      <c r="P42" s="72">
        <f t="shared" si="11"/>
        <v>1</v>
      </c>
      <c r="Q42" s="51"/>
      <c r="R42" s="62">
        <v>0</v>
      </c>
      <c r="T42" s="72">
        <f t="shared" si="12"/>
        <v>1</v>
      </c>
      <c r="V42" s="62">
        <v>2.35</v>
      </c>
      <c r="X42" s="72">
        <f t="shared" si="13"/>
        <v>8.9361700000000006</v>
      </c>
    </row>
    <row r="43" spans="1:24" x14ac:dyDescent="0.2">
      <c r="A43" s="51"/>
      <c r="B43" s="51"/>
      <c r="C43" s="51"/>
      <c r="D43" s="51" t="s">
        <v>192</v>
      </c>
      <c r="E43" s="51"/>
      <c r="F43" s="62">
        <v>436</v>
      </c>
      <c r="G43" s="51"/>
      <c r="H43" s="62">
        <v>0</v>
      </c>
      <c r="I43" s="51"/>
      <c r="J43" s="72">
        <f t="shared" si="10"/>
        <v>1</v>
      </c>
      <c r="K43" s="51"/>
      <c r="L43" s="62">
        <v>275</v>
      </c>
      <c r="M43" s="51"/>
      <c r="N43" s="62">
        <v>0</v>
      </c>
      <c r="O43" s="51"/>
      <c r="P43" s="72">
        <f t="shared" si="11"/>
        <v>1</v>
      </c>
      <c r="Q43" s="51"/>
      <c r="R43" s="62">
        <v>0</v>
      </c>
      <c r="T43" s="72">
        <f t="shared" si="12"/>
        <v>1</v>
      </c>
      <c r="V43" s="62">
        <v>21.46</v>
      </c>
      <c r="X43" s="72">
        <f t="shared" si="13"/>
        <v>12.814539999999999</v>
      </c>
    </row>
    <row r="44" spans="1:24" ht="16" thickBot="1" x14ac:dyDescent="0.25">
      <c r="A44" s="51"/>
      <c r="B44" s="51"/>
      <c r="C44" s="51"/>
      <c r="D44" s="51" t="s">
        <v>193</v>
      </c>
      <c r="E44" s="51"/>
      <c r="F44" s="64">
        <v>13899</v>
      </c>
      <c r="G44" s="51"/>
      <c r="H44" s="64">
        <v>0</v>
      </c>
      <c r="I44" s="51"/>
      <c r="J44" s="83">
        <f t="shared" si="10"/>
        <v>1</v>
      </c>
      <c r="K44" s="51"/>
      <c r="L44" s="64">
        <v>13899</v>
      </c>
      <c r="M44" s="51"/>
      <c r="N44" s="64">
        <v>0</v>
      </c>
      <c r="O44" s="51"/>
      <c r="P44" s="83">
        <f t="shared" si="11"/>
        <v>1</v>
      </c>
      <c r="Q44" s="51"/>
      <c r="R44" s="64">
        <v>0</v>
      </c>
      <c r="T44" s="83">
        <f t="shared" si="12"/>
        <v>1</v>
      </c>
      <c r="V44" s="64">
        <v>7577.37</v>
      </c>
      <c r="X44" s="83">
        <f t="shared" si="13"/>
        <v>1.8342799999999999</v>
      </c>
    </row>
    <row r="45" spans="1:24" ht="16" thickBot="1" x14ac:dyDescent="0.25">
      <c r="A45" s="51"/>
      <c r="B45" s="51"/>
      <c r="C45" s="51" t="s">
        <v>194</v>
      </c>
      <c r="D45" s="51"/>
      <c r="E45" s="51"/>
      <c r="F45" s="66">
        <f>ROUND(SUM(F40:F44),5)</f>
        <v>14343</v>
      </c>
      <c r="G45" s="51"/>
      <c r="H45" s="66">
        <f>ROUND(SUM(H40:H44),5)</f>
        <v>0</v>
      </c>
      <c r="I45" s="51"/>
      <c r="J45" s="85">
        <f t="shared" si="10"/>
        <v>1</v>
      </c>
      <c r="K45" s="51"/>
      <c r="L45" s="66">
        <f>ROUND(SUM(L40:L44),5)</f>
        <v>14195</v>
      </c>
      <c r="M45" s="51"/>
      <c r="N45" s="66">
        <f>ROUND(SUM(N40:N44),5)</f>
        <v>0</v>
      </c>
      <c r="O45" s="51"/>
      <c r="P45" s="85">
        <f t="shared" si="11"/>
        <v>1</v>
      </c>
      <c r="Q45" s="51"/>
      <c r="R45" s="66">
        <f>ROUND(SUM(R40:R44),5)</f>
        <v>70000</v>
      </c>
      <c r="T45" s="85">
        <f t="shared" si="12"/>
        <v>0.20279</v>
      </c>
      <c r="V45" s="66">
        <f>ROUND(SUM(V40:V44),5)</f>
        <v>7601.18</v>
      </c>
      <c r="X45" s="85">
        <f t="shared" si="13"/>
        <v>1.86747</v>
      </c>
    </row>
    <row r="46" spans="1:24" ht="16" thickBot="1" x14ac:dyDescent="0.25">
      <c r="A46" s="51"/>
      <c r="B46" s="51" t="s">
        <v>195</v>
      </c>
      <c r="C46" s="51"/>
      <c r="D46" s="51"/>
      <c r="E46" s="51"/>
      <c r="F46" s="66">
        <f>ROUND(F39+F45,5)</f>
        <v>14343</v>
      </c>
      <c r="G46" s="51"/>
      <c r="H46" s="66">
        <f>ROUND(H39+H45,5)</f>
        <v>0</v>
      </c>
      <c r="I46" s="51"/>
      <c r="J46" s="85">
        <f t="shared" si="10"/>
        <v>1</v>
      </c>
      <c r="K46" s="51"/>
      <c r="L46" s="66">
        <f>ROUND(L39+L45,5)</f>
        <v>14195</v>
      </c>
      <c r="M46" s="51"/>
      <c r="N46" s="66">
        <f>ROUND(N39+N45,5)</f>
        <v>0</v>
      </c>
      <c r="O46" s="51"/>
      <c r="P46" s="85">
        <f t="shared" si="11"/>
        <v>1</v>
      </c>
      <c r="Q46" s="51"/>
      <c r="R46" s="66">
        <f>ROUND(R39+R45,5)</f>
        <v>70000</v>
      </c>
      <c r="T46" s="85">
        <f t="shared" si="12"/>
        <v>0.20279</v>
      </c>
      <c r="V46" s="66">
        <f>ROUND(V39+V45,5)</f>
        <v>7601.18</v>
      </c>
      <c r="X46" s="85">
        <f t="shared" si="13"/>
        <v>1.86747</v>
      </c>
    </row>
    <row r="47" spans="1:24" s="87" customFormat="1" ht="27.75" customHeight="1" thickBot="1" x14ac:dyDescent="0.2">
      <c r="A47" s="51" t="s">
        <v>196</v>
      </c>
      <c r="B47" s="51"/>
      <c r="C47" s="51"/>
      <c r="D47" s="51"/>
      <c r="E47" s="51"/>
      <c r="F47" s="67">
        <f>ROUND(F37+F46,5)</f>
        <v>14919</v>
      </c>
      <c r="G47" s="51"/>
      <c r="H47" s="67">
        <f>ROUND(H37+H46,5)</f>
        <v>-7592</v>
      </c>
      <c r="I47" s="51"/>
      <c r="J47" s="86">
        <f t="shared" si="10"/>
        <v>-1.96509</v>
      </c>
      <c r="K47" s="51"/>
      <c r="L47" s="67">
        <f>ROUND(L37+L46,5)</f>
        <v>135044</v>
      </c>
      <c r="M47" s="51"/>
      <c r="N47" s="67">
        <f>ROUND(N37+N46,5)</f>
        <v>137650</v>
      </c>
      <c r="O47" s="51"/>
      <c r="P47" s="86">
        <f t="shared" si="11"/>
        <v>0.98107</v>
      </c>
      <c r="Q47" s="51"/>
      <c r="R47" s="67">
        <f>ROUND(R37+R46,5)</f>
        <v>330</v>
      </c>
      <c r="T47" s="86">
        <f t="shared" si="12"/>
        <v>409.22424000000001</v>
      </c>
      <c r="V47" s="67">
        <f>ROUND(V37+V46,5)</f>
        <v>49903.56</v>
      </c>
      <c r="X47" s="86">
        <f t="shared" si="13"/>
        <v>2.7061000000000002</v>
      </c>
    </row>
    <row r="48" spans="1:24" ht="16" thickTop="1" x14ac:dyDescent="0.2">
      <c r="V48" s="68"/>
    </row>
    <row r="49" spans="4:17" ht="16" thickBot="1" x14ac:dyDescent="0.25">
      <c r="D49" s="51" t="s">
        <v>203</v>
      </c>
      <c r="E49" s="51"/>
      <c r="L49" s="62">
        <v>270000</v>
      </c>
    </row>
    <row r="50" spans="4:17" ht="16" thickBot="1" x14ac:dyDescent="0.25">
      <c r="F50" s="67">
        <f>+F47+F49</f>
        <v>14919</v>
      </c>
      <c r="G50" s="51"/>
      <c r="H50" s="67">
        <f>+H47+H49</f>
        <v>-7592</v>
      </c>
      <c r="I50" s="51"/>
      <c r="K50" s="51"/>
      <c r="L50" s="67">
        <f>+L49+L47</f>
        <v>405044</v>
      </c>
      <c r="M50" s="51"/>
      <c r="N50" s="67">
        <f>+N49+N47</f>
        <v>137650</v>
      </c>
      <c r="O50" s="51"/>
      <c r="Q50" s="51"/>
    </row>
    <row r="51" spans="4:17" ht="16" thickTop="1" x14ac:dyDescent="0.2"/>
  </sheetData>
  <pageMargins left="0.7" right="0.2" top="0.75" bottom="0.25" header="0.1" footer="0.3"/>
  <pageSetup scale="70" orientation="landscape" r:id="rId1"/>
  <headerFooter>
    <oddHeader>&amp;L&amp;"Arial,Bold"&amp;8 12:48 PM
&amp;"Helvetica,Regular"&amp;10 07/08/19
&amp;"Arial,Bold"&amp;8 Accrual Basis&amp;C&amp;"Helvetica,Regular"&amp;14 Textile Center of Minnesota
&amp;"Helvetica,Regular"&amp;18 Operating Statement of Activities
&amp;"Helvetica,Regular"&amp;12 June 2019</oddHeader>
    <oddFooter>&amp;R&amp;"Helvetica,Regular"&amp;10 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V154"/>
  <sheetViews>
    <sheetView zoomScaleNormal="100" workbookViewId="0">
      <pane xSplit="7" ySplit="2" topLeftCell="H129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9.1640625" defaultRowHeight="15" x14ac:dyDescent="0.2"/>
  <cols>
    <col min="1" max="6" width="1.6640625" style="88" customWidth="1"/>
    <col min="7" max="7" width="34.5" style="88" customWidth="1"/>
    <col min="8" max="8" width="10.6640625" style="68" bestFit="1" customWidth="1"/>
    <col min="9" max="9" width="2" style="68" customWidth="1"/>
    <col min="10" max="10" width="11.33203125" style="68" bestFit="1" customWidth="1"/>
    <col min="11" max="11" width="2" style="68" customWidth="1"/>
    <col min="12" max="12" width="9.1640625" style="68" bestFit="1" customWidth="1"/>
    <col min="13" max="13" width="2" style="68" customWidth="1"/>
    <col min="14" max="14" width="10.5" style="68" bestFit="1" customWidth="1"/>
    <col min="15" max="15" width="2" style="68" customWidth="1"/>
    <col min="16" max="16" width="11" style="68" bestFit="1" customWidth="1"/>
    <col min="17" max="17" width="2" style="68" customWidth="1"/>
    <col min="18" max="18" width="8.83203125" style="68" bestFit="1" customWidth="1"/>
    <col min="19" max="19" width="2" style="68" customWidth="1"/>
    <col min="20" max="20" width="13.33203125" style="68" customWidth="1"/>
    <col min="21" max="21" width="2" style="53" customWidth="1"/>
    <col min="22" max="22" width="11" style="53" bestFit="1" customWidth="1"/>
    <col min="23" max="23" width="3.6640625" style="53" customWidth="1"/>
    <col min="24" max="16384" width="9.1640625" style="53"/>
  </cols>
  <sheetData>
    <row r="1" spans="1:22" ht="16" thickBot="1" x14ac:dyDescent="0.25">
      <c r="A1" s="51"/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V1" s="54">
        <f>3/12</f>
        <v>0.25</v>
      </c>
    </row>
    <row r="2" spans="1:22" s="81" customFormat="1" ht="42.75" customHeight="1" thickBot="1" x14ac:dyDescent="0.25">
      <c r="A2" s="55"/>
      <c r="B2" s="55"/>
      <c r="C2" s="55"/>
      <c r="D2" s="55"/>
      <c r="E2" s="55"/>
      <c r="F2" s="55"/>
      <c r="G2" s="55"/>
      <c r="H2" s="56" t="s">
        <v>200</v>
      </c>
      <c r="I2" s="57"/>
      <c r="J2" s="58" t="s">
        <v>201</v>
      </c>
      <c r="K2" s="57"/>
      <c r="L2" s="59" t="s">
        <v>202</v>
      </c>
      <c r="M2" s="60"/>
      <c r="N2" s="56" t="s">
        <v>197</v>
      </c>
      <c r="O2" s="57"/>
      <c r="P2" s="58" t="s">
        <v>49</v>
      </c>
      <c r="Q2" s="57"/>
      <c r="R2" s="59" t="s">
        <v>198</v>
      </c>
      <c r="S2" s="60"/>
      <c r="T2" s="56" t="s">
        <v>50</v>
      </c>
      <c r="U2" s="61"/>
      <c r="V2" s="59" t="s">
        <v>199</v>
      </c>
    </row>
    <row r="3" spans="1:22" x14ac:dyDescent="0.2">
      <c r="A3" s="51"/>
      <c r="B3" s="51" t="s">
        <v>51</v>
      </c>
      <c r="C3" s="51"/>
      <c r="D3" s="51"/>
      <c r="E3" s="51"/>
      <c r="F3" s="51"/>
      <c r="G3" s="51"/>
      <c r="H3" s="62"/>
      <c r="I3" s="51"/>
      <c r="J3" s="62"/>
      <c r="K3" s="51"/>
      <c r="L3" s="72"/>
      <c r="M3" s="51"/>
      <c r="N3" s="62"/>
      <c r="O3" s="51"/>
      <c r="P3" s="62"/>
      <c r="Q3" s="51"/>
      <c r="R3" s="72"/>
      <c r="S3" s="51"/>
      <c r="T3" s="62"/>
    </row>
    <row r="4" spans="1:22" x14ac:dyDescent="0.2">
      <c r="A4" s="51"/>
      <c r="B4" s="51"/>
      <c r="C4" s="51"/>
      <c r="D4" s="51" t="s">
        <v>52</v>
      </c>
      <c r="E4" s="51"/>
      <c r="F4" s="51"/>
      <c r="G4" s="51"/>
      <c r="H4" s="62"/>
      <c r="I4" s="51"/>
      <c r="J4" s="62"/>
      <c r="K4" s="51"/>
      <c r="L4" s="72"/>
      <c r="M4" s="51"/>
      <c r="N4" s="62"/>
      <c r="O4" s="51"/>
      <c r="P4" s="62"/>
      <c r="Q4" s="51"/>
      <c r="R4" s="72"/>
      <c r="S4" s="51"/>
      <c r="T4" s="62"/>
    </row>
    <row r="5" spans="1:22" x14ac:dyDescent="0.2">
      <c r="A5" s="51"/>
      <c r="B5" s="51"/>
      <c r="C5" s="51"/>
      <c r="D5" s="51"/>
      <c r="E5" s="51" t="s">
        <v>53</v>
      </c>
      <c r="F5" s="51"/>
      <c r="G5" s="51"/>
      <c r="H5" s="62"/>
      <c r="I5" s="51"/>
      <c r="J5" s="62"/>
      <c r="K5" s="51"/>
      <c r="L5" s="72"/>
      <c r="M5" s="51"/>
      <c r="N5" s="62"/>
      <c r="O5" s="51"/>
      <c r="P5" s="62"/>
      <c r="Q5" s="51"/>
      <c r="R5" s="72"/>
      <c r="S5" s="51"/>
      <c r="T5" s="62"/>
    </row>
    <row r="6" spans="1:22" x14ac:dyDescent="0.2">
      <c r="A6" s="51"/>
      <c r="B6" s="51"/>
      <c r="C6" s="51"/>
      <c r="D6" s="51"/>
      <c r="E6" s="51"/>
      <c r="F6" s="51" t="s">
        <v>54</v>
      </c>
      <c r="G6" s="51"/>
      <c r="H6" s="62">
        <v>26</v>
      </c>
      <c r="I6" s="51"/>
      <c r="J6" s="62">
        <v>10</v>
      </c>
      <c r="K6" s="51"/>
      <c r="L6" s="72">
        <f t="shared" ref="L6:L11" si="0">ROUND(IF(J6=0, IF(H6=0, 0, 1), H6/J6),5)</f>
        <v>2.6</v>
      </c>
      <c r="M6" s="51"/>
      <c r="N6" s="62">
        <v>74</v>
      </c>
      <c r="O6" s="51"/>
      <c r="P6" s="62">
        <v>30</v>
      </c>
      <c r="Q6" s="51"/>
      <c r="R6" s="72">
        <f t="shared" ref="R6:R11" si="1">ROUND(IF(P6=0, IF(N6=0, 0, 1), N6/P6),5)</f>
        <v>2.4666700000000001</v>
      </c>
      <c r="S6" s="51"/>
      <c r="T6" s="62">
        <v>1110</v>
      </c>
      <c r="V6" s="72">
        <f>ROUND(IF(T6=0, IF(N6=0, 0, 1), N6/T6),5)</f>
        <v>6.6669999999999993E-2</v>
      </c>
    </row>
    <row r="7" spans="1:22" x14ac:dyDescent="0.2">
      <c r="A7" s="51"/>
      <c r="B7" s="51"/>
      <c r="C7" s="51"/>
      <c r="D7" s="51"/>
      <c r="E7" s="51"/>
      <c r="F7" s="51" t="s">
        <v>55</v>
      </c>
      <c r="G7" s="51"/>
      <c r="H7" s="62">
        <v>10000</v>
      </c>
      <c r="I7" s="51"/>
      <c r="J7" s="62">
        <v>10000</v>
      </c>
      <c r="K7" s="51"/>
      <c r="L7" s="72">
        <f t="shared" si="0"/>
        <v>1</v>
      </c>
      <c r="M7" s="51"/>
      <c r="N7" s="62">
        <v>23925</v>
      </c>
      <c r="O7" s="51"/>
      <c r="P7" s="62">
        <v>17500</v>
      </c>
      <c r="Q7" s="51"/>
      <c r="R7" s="72">
        <f t="shared" si="1"/>
        <v>1.36714</v>
      </c>
      <c r="S7" s="51"/>
      <c r="T7" s="62">
        <v>78500</v>
      </c>
      <c r="V7" s="72">
        <f t="shared" ref="V7:V70" si="2">ROUND(IF(T7=0, IF(N7=0, 0, 1), N7/T7),5)</f>
        <v>0.30478</v>
      </c>
    </row>
    <row r="8" spans="1:22" x14ac:dyDescent="0.2">
      <c r="A8" s="51"/>
      <c r="B8" s="51"/>
      <c r="C8" s="51"/>
      <c r="D8" s="51"/>
      <c r="E8" s="51"/>
      <c r="F8" s="51" t="s">
        <v>56</v>
      </c>
      <c r="G8" s="51"/>
      <c r="H8" s="62">
        <v>0</v>
      </c>
      <c r="I8" s="51"/>
      <c r="J8" s="62">
        <v>0</v>
      </c>
      <c r="K8" s="51"/>
      <c r="L8" s="72">
        <f t="shared" si="0"/>
        <v>0</v>
      </c>
      <c r="M8" s="51"/>
      <c r="N8" s="62">
        <v>0</v>
      </c>
      <c r="O8" s="51"/>
      <c r="P8" s="62">
        <v>0</v>
      </c>
      <c r="Q8" s="51"/>
      <c r="R8" s="72">
        <f t="shared" si="1"/>
        <v>0</v>
      </c>
      <c r="S8" s="51"/>
      <c r="T8" s="62">
        <v>69000</v>
      </c>
      <c r="V8" s="72">
        <f t="shared" si="2"/>
        <v>0</v>
      </c>
    </row>
    <row r="9" spans="1:22" x14ac:dyDescent="0.2">
      <c r="A9" s="51"/>
      <c r="B9" s="51"/>
      <c r="C9" s="51"/>
      <c r="D9" s="51"/>
      <c r="E9" s="51"/>
      <c r="F9" s="51" t="s">
        <v>204</v>
      </c>
      <c r="G9" s="51"/>
      <c r="H9" s="62">
        <v>20000</v>
      </c>
      <c r="I9" s="51"/>
      <c r="J9" s="62">
        <v>16000</v>
      </c>
      <c r="K9" s="51"/>
      <c r="L9" s="72">
        <f t="shared" si="0"/>
        <v>1.25</v>
      </c>
      <c r="M9" s="51"/>
      <c r="N9" s="62">
        <v>126000</v>
      </c>
      <c r="O9" s="51"/>
      <c r="P9" s="62">
        <v>121000</v>
      </c>
      <c r="Q9" s="51"/>
      <c r="R9" s="72">
        <f t="shared" si="1"/>
        <v>1.04132</v>
      </c>
      <c r="S9" s="51"/>
      <c r="T9" s="62">
        <v>161000</v>
      </c>
      <c r="V9" s="72">
        <f t="shared" si="2"/>
        <v>0.78261000000000003</v>
      </c>
    </row>
    <row r="10" spans="1:22" ht="16" thickBot="1" x14ac:dyDescent="0.25">
      <c r="A10" s="51"/>
      <c r="B10" s="51"/>
      <c r="C10" s="51"/>
      <c r="D10" s="51"/>
      <c r="E10" s="51"/>
      <c r="F10" s="51" t="s">
        <v>57</v>
      </c>
      <c r="G10" s="51"/>
      <c r="H10" s="63">
        <f>12500</f>
        <v>12500</v>
      </c>
      <c r="I10" s="51"/>
      <c r="J10" s="63">
        <v>12500</v>
      </c>
      <c r="K10" s="51"/>
      <c r="L10" s="82">
        <f t="shared" si="0"/>
        <v>1</v>
      </c>
      <c r="M10" s="51"/>
      <c r="N10" s="63">
        <v>20500</v>
      </c>
      <c r="O10" s="51"/>
      <c r="P10" s="63">
        <v>20500</v>
      </c>
      <c r="Q10" s="51"/>
      <c r="R10" s="82">
        <f t="shared" si="1"/>
        <v>1</v>
      </c>
      <c r="S10" s="51"/>
      <c r="T10" s="63">
        <v>149000</v>
      </c>
      <c r="V10" s="82">
        <f t="shared" si="2"/>
        <v>0.13758000000000001</v>
      </c>
    </row>
    <row r="11" spans="1:22" x14ac:dyDescent="0.2">
      <c r="A11" s="51"/>
      <c r="B11" s="51"/>
      <c r="C11" s="51"/>
      <c r="D11" s="51"/>
      <c r="E11" s="51" t="s">
        <v>58</v>
      </c>
      <c r="F11" s="51"/>
      <c r="G11" s="51"/>
      <c r="H11" s="62">
        <f>ROUND(SUM(H5:H10),5)</f>
        <v>42526</v>
      </c>
      <c r="I11" s="51"/>
      <c r="J11" s="62">
        <f>ROUND(SUM(J5:J10),5)</f>
        <v>38510</v>
      </c>
      <c r="K11" s="51"/>
      <c r="L11" s="72">
        <f t="shared" si="0"/>
        <v>1.1042799999999999</v>
      </c>
      <c r="M11" s="51"/>
      <c r="N11" s="62">
        <f>ROUND(SUM(N5:N10),5)</f>
        <v>170499</v>
      </c>
      <c r="O11" s="51"/>
      <c r="P11" s="62">
        <f>ROUND(SUM(P5:P10),5)</f>
        <v>159030</v>
      </c>
      <c r="Q11" s="51"/>
      <c r="R11" s="72">
        <f t="shared" si="1"/>
        <v>1.07212</v>
      </c>
      <c r="S11" s="51"/>
      <c r="T11" s="62">
        <f>ROUND(SUM(T5:T10),5)</f>
        <v>458610</v>
      </c>
      <c r="V11" s="72">
        <f t="shared" si="2"/>
        <v>0.37176999999999999</v>
      </c>
    </row>
    <row r="12" spans="1:22" x14ac:dyDescent="0.2">
      <c r="A12" s="51"/>
      <c r="B12" s="51"/>
      <c r="C12" s="51"/>
      <c r="D12" s="51"/>
      <c r="E12" s="51" t="s">
        <v>59</v>
      </c>
      <c r="F12" s="51"/>
      <c r="G12" s="51"/>
      <c r="H12" s="62"/>
      <c r="I12" s="51"/>
      <c r="J12" s="62"/>
      <c r="K12" s="51"/>
      <c r="L12" s="72"/>
      <c r="M12" s="51"/>
      <c r="N12" s="62"/>
      <c r="O12" s="51"/>
      <c r="P12" s="62"/>
      <c r="Q12" s="51"/>
      <c r="R12" s="72"/>
      <c r="S12" s="51"/>
      <c r="T12" s="62"/>
      <c r="V12" s="72"/>
    </row>
    <row r="13" spans="1:22" x14ac:dyDescent="0.2">
      <c r="A13" s="51"/>
      <c r="B13" s="51"/>
      <c r="C13" s="51"/>
      <c r="D13" s="51"/>
      <c r="E13" s="51"/>
      <c r="F13" s="51" t="s">
        <v>60</v>
      </c>
      <c r="G13" s="51"/>
      <c r="H13" s="62">
        <v>6630</v>
      </c>
      <c r="I13" s="51"/>
      <c r="J13" s="62">
        <v>6100</v>
      </c>
      <c r="K13" s="51"/>
      <c r="L13" s="72">
        <f t="shared" ref="L13:L18" si="3">ROUND(IF(J13=0, IF(H13=0, 0, 1), H13/J13),5)</f>
        <v>1.0868899999999999</v>
      </c>
      <c r="M13" s="51"/>
      <c r="N13" s="62">
        <v>15719</v>
      </c>
      <c r="O13" s="51"/>
      <c r="P13" s="62">
        <v>18200</v>
      </c>
      <c r="Q13" s="51"/>
      <c r="R13" s="72">
        <f t="shared" ref="R13:R18" si="4">ROUND(IF(P13=0, IF(N13=0, 0, 1), N13/P13),5)</f>
        <v>0.86368</v>
      </c>
      <c r="S13" s="51"/>
      <c r="T13" s="62">
        <v>125000</v>
      </c>
      <c r="V13" s="72">
        <f t="shared" si="2"/>
        <v>0.12575</v>
      </c>
    </row>
    <row r="14" spans="1:22" x14ac:dyDescent="0.2">
      <c r="A14" s="51"/>
      <c r="B14" s="51"/>
      <c r="C14" s="51"/>
      <c r="D14" s="51"/>
      <c r="E14" s="51"/>
      <c r="F14" s="51" t="s">
        <v>61</v>
      </c>
      <c r="G14" s="51"/>
      <c r="H14" s="62">
        <v>175</v>
      </c>
      <c r="I14" s="51"/>
      <c r="J14" s="62">
        <v>425</v>
      </c>
      <c r="K14" s="51"/>
      <c r="L14" s="72">
        <f t="shared" si="3"/>
        <v>0.41176000000000001</v>
      </c>
      <c r="M14" s="51"/>
      <c r="N14" s="62">
        <v>750</v>
      </c>
      <c r="O14" s="51"/>
      <c r="P14" s="62">
        <v>850</v>
      </c>
      <c r="Q14" s="51"/>
      <c r="R14" s="72">
        <f t="shared" si="4"/>
        <v>0.88234999999999997</v>
      </c>
      <c r="S14" s="51"/>
      <c r="T14" s="62">
        <v>1700</v>
      </c>
      <c r="V14" s="72">
        <f t="shared" si="2"/>
        <v>0.44118000000000002</v>
      </c>
    </row>
    <row r="15" spans="1:22" x14ac:dyDescent="0.2">
      <c r="A15" s="51"/>
      <c r="B15" s="51"/>
      <c r="C15" s="51"/>
      <c r="D15" s="51"/>
      <c r="E15" s="51"/>
      <c r="F15" s="51" t="s">
        <v>62</v>
      </c>
      <c r="G15" s="51"/>
      <c r="H15" s="62">
        <v>0</v>
      </c>
      <c r="I15" s="51"/>
      <c r="J15" s="62">
        <v>0</v>
      </c>
      <c r="K15" s="51"/>
      <c r="L15" s="72">
        <f t="shared" si="3"/>
        <v>0</v>
      </c>
      <c r="M15" s="51"/>
      <c r="N15" s="62">
        <v>9600</v>
      </c>
      <c r="O15" s="51"/>
      <c r="P15" s="62">
        <v>9600</v>
      </c>
      <c r="Q15" s="51"/>
      <c r="R15" s="72">
        <f t="shared" si="4"/>
        <v>1</v>
      </c>
      <c r="S15" s="51"/>
      <c r="T15" s="62">
        <v>20250</v>
      </c>
      <c r="V15" s="72">
        <f t="shared" si="2"/>
        <v>0.47406999999999999</v>
      </c>
    </row>
    <row r="16" spans="1:22" x14ac:dyDescent="0.2">
      <c r="A16" s="51"/>
      <c r="B16" s="51"/>
      <c r="C16" s="51"/>
      <c r="D16" s="51"/>
      <c r="E16" s="51"/>
      <c r="F16" s="51" t="s">
        <v>63</v>
      </c>
      <c r="G16" s="51"/>
      <c r="H16" s="62">
        <v>0</v>
      </c>
      <c r="I16" s="51"/>
      <c r="J16" s="62">
        <v>0</v>
      </c>
      <c r="K16" s="51"/>
      <c r="L16" s="72">
        <f t="shared" si="3"/>
        <v>0</v>
      </c>
      <c r="M16" s="51"/>
      <c r="N16" s="62">
        <v>1325</v>
      </c>
      <c r="O16" s="51"/>
      <c r="P16" s="62">
        <v>0</v>
      </c>
      <c r="Q16" s="51"/>
      <c r="R16" s="72">
        <f t="shared" si="4"/>
        <v>1</v>
      </c>
      <c r="S16" s="51"/>
      <c r="T16" s="62">
        <v>0</v>
      </c>
      <c r="V16" s="72">
        <f t="shared" si="2"/>
        <v>1</v>
      </c>
    </row>
    <row r="17" spans="1:22" ht="16" thickBot="1" x14ac:dyDescent="0.25">
      <c r="A17" s="51"/>
      <c r="B17" s="51"/>
      <c r="C17" s="51"/>
      <c r="D17" s="51"/>
      <c r="E17" s="51"/>
      <c r="F17" s="51" t="s">
        <v>64</v>
      </c>
      <c r="G17" s="51"/>
      <c r="H17" s="63">
        <v>0</v>
      </c>
      <c r="I17" s="51"/>
      <c r="J17" s="63">
        <v>0</v>
      </c>
      <c r="K17" s="51"/>
      <c r="L17" s="82">
        <f t="shared" si="3"/>
        <v>0</v>
      </c>
      <c r="M17" s="51"/>
      <c r="N17" s="63">
        <v>109</v>
      </c>
      <c r="O17" s="51"/>
      <c r="P17" s="63">
        <v>250</v>
      </c>
      <c r="Q17" s="51"/>
      <c r="R17" s="82">
        <f t="shared" si="4"/>
        <v>0.436</v>
      </c>
      <c r="S17" s="51"/>
      <c r="T17" s="63">
        <v>800</v>
      </c>
      <c r="V17" s="82">
        <f t="shared" si="2"/>
        <v>0.13625000000000001</v>
      </c>
    </row>
    <row r="18" spans="1:22" x14ac:dyDescent="0.2">
      <c r="A18" s="51"/>
      <c r="B18" s="51"/>
      <c r="C18" s="51"/>
      <c r="D18" s="51"/>
      <c r="E18" s="51" t="s">
        <v>65</v>
      </c>
      <c r="F18" s="51"/>
      <c r="G18" s="51"/>
      <c r="H18" s="62">
        <f>ROUND(SUM(H12:H17),5)</f>
        <v>6805</v>
      </c>
      <c r="I18" s="51"/>
      <c r="J18" s="62">
        <f>ROUND(SUM(J12:J17),5)</f>
        <v>6525</v>
      </c>
      <c r="K18" s="51"/>
      <c r="L18" s="72">
        <f t="shared" si="3"/>
        <v>1.04291</v>
      </c>
      <c r="M18" s="51"/>
      <c r="N18" s="62">
        <f>ROUND(SUM(N12:N17),5)</f>
        <v>27503</v>
      </c>
      <c r="O18" s="51"/>
      <c r="P18" s="62">
        <f>ROUND(SUM(P12:P17),5)</f>
        <v>28900</v>
      </c>
      <c r="Q18" s="51"/>
      <c r="R18" s="72">
        <f t="shared" si="4"/>
        <v>0.95165999999999995</v>
      </c>
      <c r="S18" s="51"/>
      <c r="T18" s="62">
        <f>ROUND(SUM(T12:T17),5)</f>
        <v>147750</v>
      </c>
      <c r="V18" s="72">
        <f t="shared" si="2"/>
        <v>0.18615000000000001</v>
      </c>
    </row>
    <row r="19" spans="1:22" x14ac:dyDescent="0.2">
      <c r="A19" s="51"/>
      <c r="B19" s="51"/>
      <c r="C19" s="51"/>
      <c r="D19" s="51"/>
      <c r="E19" s="51" t="s">
        <v>66</v>
      </c>
      <c r="F19" s="51"/>
      <c r="G19" s="51"/>
      <c r="H19" s="62"/>
      <c r="I19" s="51"/>
      <c r="J19" s="62"/>
      <c r="K19" s="51"/>
      <c r="L19" s="72"/>
      <c r="M19" s="51"/>
      <c r="N19" s="62"/>
      <c r="O19" s="51"/>
      <c r="P19" s="62"/>
      <c r="Q19" s="51"/>
      <c r="R19" s="72"/>
      <c r="S19" s="51"/>
      <c r="T19" s="62"/>
      <c r="V19" s="72"/>
    </row>
    <row r="20" spans="1:22" x14ac:dyDescent="0.2">
      <c r="A20" s="51"/>
      <c r="B20" s="51"/>
      <c r="C20" s="51"/>
      <c r="D20" s="51"/>
      <c r="E20" s="51"/>
      <c r="F20" s="51" t="s">
        <v>67</v>
      </c>
      <c r="G20" s="51"/>
      <c r="H20" s="62">
        <v>2615</v>
      </c>
      <c r="I20" s="51"/>
      <c r="J20" s="62">
        <v>3620</v>
      </c>
      <c r="K20" s="51"/>
      <c r="L20" s="72">
        <f>ROUND(IF(J20=0, IF(H20=0, 0, 1), H20/J20),5)</f>
        <v>0.72238000000000002</v>
      </c>
      <c r="M20" s="51"/>
      <c r="N20" s="62">
        <v>10965</v>
      </c>
      <c r="O20" s="51"/>
      <c r="P20" s="62">
        <v>12545</v>
      </c>
      <c r="Q20" s="51"/>
      <c r="R20" s="72">
        <f>ROUND(IF(P20=0, IF(N20=0, 0, 1), N20/P20),5)</f>
        <v>0.87404999999999999</v>
      </c>
      <c r="S20" s="51"/>
      <c r="T20" s="62">
        <v>53870</v>
      </c>
      <c r="V20" s="72">
        <f t="shared" si="2"/>
        <v>0.20355000000000001</v>
      </c>
    </row>
    <row r="21" spans="1:22" x14ac:dyDescent="0.2">
      <c r="A21" s="51"/>
      <c r="B21" s="51"/>
      <c r="C21" s="51"/>
      <c r="D21" s="51"/>
      <c r="E21" s="51"/>
      <c r="F21" s="51" t="s">
        <v>68</v>
      </c>
      <c r="G21" s="51"/>
      <c r="H21" s="62">
        <v>50</v>
      </c>
      <c r="I21" s="51"/>
      <c r="J21" s="62">
        <v>165</v>
      </c>
      <c r="K21" s="51"/>
      <c r="L21" s="72">
        <f>ROUND(IF(J21=0, IF(H21=0, 0, 1), H21/J21),5)</f>
        <v>0.30303000000000002</v>
      </c>
      <c r="M21" s="51"/>
      <c r="N21" s="62">
        <v>425</v>
      </c>
      <c r="O21" s="51"/>
      <c r="P21" s="62">
        <v>385</v>
      </c>
      <c r="Q21" s="51"/>
      <c r="R21" s="72">
        <f>ROUND(IF(P21=0, IF(N21=0, 0, 1), N21/P21),5)</f>
        <v>1.1039000000000001</v>
      </c>
      <c r="S21" s="51"/>
      <c r="T21" s="62">
        <v>1760</v>
      </c>
      <c r="V21" s="72">
        <f t="shared" si="2"/>
        <v>0.24148</v>
      </c>
    </row>
    <row r="22" spans="1:22" ht="16" thickBot="1" x14ac:dyDescent="0.25">
      <c r="A22" s="51"/>
      <c r="B22" s="51"/>
      <c r="C22" s="51"/>
      <c r="D22" s="51"/>
      <c r="E22" s="51"/>
      <c r="F22" s="51" t="s">
        <v>69</v>
      </c>
      <c r="G22" s="51"/>
      <c r="H22" s="63">
        <v>165</v>
      </c>
      <c r="I22" s="51"/>
      <c r="J22" s="63">
        <v>0</v>
      </c>
      <c r="K22" s="51"/>
      <c r="L22" s="82">
        <f>ROUND(IF(J22=0, IF(H22=0, 0, 1), H22/J22),5)</f>
        <v>1</v>
      </c>
      <c r="M22" s="51"/>
      <c r="N22" s="63">
        <v>400</v>
      </c>
      <c r="O22" s="51"/>
      <c r="P22" s="63">
        <v>0</v>
      </c>
      <c r="Q22" s="51"/>
      <c r="R22" s="82">
        <f>ROUND(IF(P22=0, IF(N22=0, 0, 1), N22/P22),5)</f>
        <v>1</v>
      </c>
      <c r="S22" s="51"/>
      <c r="T22" s="63">
        <v>1380</v>
      </c>
      <c r="V22" s="82">
        <f t="shared" si="2"/>
        <v>0.28986000000000001</v>
      </c>
    </row>
    <row r="23" spans="1:22" x14ac:dyDescent="0.2">
      <c r="A23" s="51"/>
      <c r="B23" s="51"/>
      <c r="C23" s="51"/>
      <c r="D23" s="51"/>
      <c r="E23" s="51" t="s">
        <v>70</v>
      </c>
      <c r="F23" s="51"/>
      <c r="G23" s="51"/>
      <c r="H23" s="62">
        <f>ROUND(SUM(H19:H22),5)</f>
        <v>2830</v>
      </c>
      <c r="I23" s="51"/>
      <c r="J23" s="62">
        <f>ROUND(SUM(J19:J22),5)</f>
        <v>3785</v>
      </c>
      <c r="K23" s="51"/>
      <c r="L23" s="72">
        <f>ROUND(IF(J23=0, IF(H23=0, 0, 1), H23/J23),5)</f>
        <v>0.74768999999999997</v>
      </c>
      <c r="M23" s="51"/>
      <c r="N23" s="62">
        <f>ROUND(SUM(N19:N22),5)</f>
        <v>11790</v>
      </c>
      <c r="O23" s="51"/>
      <c r="P23" s="62">
        <f>ROUND(SUM(P19:P22),5)</f>
        <v>12930</v>
      </c>
      <c r="Q23" s="51"/>
      <c r="R23" s="72">
        <f>ROUND(IF(P23=0, IF(N23=0, 0, 1), N23/P23),5)</f>
        <v>0.91183000000000003</v>
      </c>
      <c r="S23" s="51"/>
      <c r="T23" s="62">
        <f>ROUND(SUM(T19:T22),5)</f>
        <v>57010</v>
      </c>
      <c r="V23" s="72">
        <f t="shared" si="2"/>
        <v>0.20680999999999999</v>
      </c>
    </row>
    <row r="24" spans="1:22" x14ac:dyDescent="0.2">
      <c r="A24" s="51"/>
      <c r="B24" s="51"/>
      <c r="C24" s="51"/>
      <c r="D24" s="51"/>
      <c r="E24" s="51" t="s">
        <v>71</v>
      </c>
      <c r="F24" s="51"/>
      <c r="G24" s="51"/>
      <c r="H24" s="62"/>
      <c r="I24" s="51"/>
      <c r="J24" s="62"/>
      <c r="K24" s="51"/>
      <c r="L24" s="72"/>
      <c r="M24" s="51"/>
      <c r="N24" s="62"/>
      <c r="O24" s="51"/>
      <c r="P24" s="62"/>
      <c r="Q24" s="51"/>
      <c r="R24" s="72"/>
      <c r="S24" s="51"/>
      <c r="T24" s="62"/>
      <c r="V24" s="72"/>
    </row>
    <row r="25" spans="1:22" x14ac:dyDescent="0.2">
      <c r="A25" s="51"/>
      <c r="B25" s="51"/>
      <c r="C25" s="51"/>
      <c r="D25" s="51"/>
      <c r="E25" s="51"/>
      <c r="F25" s="51" t="s">
        <v>72</v>
      </c>
      <c r="G25" s="51"/>
      <c r="H25" s="62">
        <v>3706</v>
      </c>
      <c r="I25" s="51"/>
      <c r="J25" s="62">
        <v>4100</v>
      </c>
      <c r="K25" s="51"/>
      <c r="L25" s="72">
        <f t="shared" ref="L25:L30" si="5">ROUND(IF(J25=0, IF(H25=0, 0, 1), H25/J25),5)</f>
        <v>0.90390000000000004</v>
      </c>
      <c r="M25" s="51"/>
      <c r="N25" s="62">
        <v>13955</v>
      </c>
      <c r="O25" s="51"/>
      <c r="P25" s="62">
        <v>15900</v>
      </c>
      <c r="Q25" s="51"/>
      <c r="R25" s="72">
        <f t="shared" ref="R25:R30" si="6">ROUND(IF(P25=0, IF(N25=0, 0, 1), N25/P25),5)</f>
        <v>0.87766999999999995</v>
      </c>
      <c r="S25" s="51"/>
      <c r="T25" s="62">
        <v>60900</v>
      </c>
      <c r="V25" s="72">
        <f t="shared" si="2"/>
        <v>0.22914999999999999</v>
      </c>
    </row>
    <row r="26" spans="1:22" x14ac:dyDescent="0.2">
      <c r="A26" s="51"/>
      <c r="B26" s="51"/>
      <c r="C26" s="51"/>
      <c r="D26" s="51"/>
      <c r="E26" s="51"/>
      <c r="F26" s="51" t="s">
        <v>73</v>
      </c>
      <c r="G26" s="51"/>
      <c r="H26" s="62">
        <v>655</v>
      </c>
      <c r="I26" s="51"/>
      <c r="J26" s="62">
        <v>500</v>
      </c>
      <c r="K26" s="51"/>
      <c r="L26" s="72">
        <f t="shared" si="5"/>
        <v>1.31</v>
      </c>
      <c r="M26" s="51"/>
      <c r="N26" s="62">
        <v>1005</v>
      </c>
      <c r="O26" s="51"/>
      <c r="P26" s="62">
        <v>1500</v>
      </c>
      <c r="Q26" s="51"/>
      <c r="R26" s="72">
        <f t="shared" si="6"/>
        <v>0.67</v>
      </c>
      <c r="S26" s="51"/>
      <c r="T26" s="62">
        <v>10000</v>
      </c>
      <c r="V26" s="72">
        <f t="shared" si="2"/>
        <v>0.10050000000000001</v>
      </c>
    </row>
    <row r="27" spans="1:22" x14ac:dyDescent="0.2">
      <c r="A27" s="51"/>
      <c r="B27" s="51"/>
      <c r="C27" s="51"/>
      <c r="D27" s="51"/>
      <c r="E27" s="51"/>
      <c r="F27" s="51" t="s">
        <v>74</v>
      </c>
      <c r="G27" s="51"/>
      <c r="H27" s="62">
        <v>0</v>
      </c>
      <c r="I27" s="51"/>
      <c r="J27" s="62">
        <v>0</v>
      </c>
      <c r="K27" s="51"/>
      <c r="L27" s="72">
        <f t="shared" si="5"/>
        <v>0</v>
      </c>
      <c r="M27" s="51"/>
      <c r="N27" s="62">
        <v>0</v>
      </c>
      <c r="O27" s="51"/>
      <c r="P27" s="62">
        <v>0</v>
      </c>
      <c r="Q27" s="51"/>
      <c r="R27" s="72">
        <f t="shared" si="6"/>
        <v>0</v>
      </c>
      <c r="S27" s="51"/>
      <c r="T27" s="62">
        <v>3250</v>
      </c>
      <c r="V27" s="72">
        <f t="shared" si="2"/>
        <v>0</v>
      </c>
    </row>
    <row r="28" spans="1:22" x14ac:dyDescent="0.2">
      <c r="A28" s="51"/>
      <c r="B28" s="51"/>
      <c r="C28" s="51"/>
      <c r="D28" s="51"/>
      <c r="E28" s="51"/>
      <c r="F28" s="51" t="s">
        <v>75</v>
      </c>
      <c r="G28" s="51"/>
      <c r="H28" s="62">
        <v>100</v>
      </c>
      <c r="I28" s="51"/>
      <c r="J28" s="62">
        <v>80</v>
      </c>
      <c r="K28" s="51"/>
      <c r="L28" s="72">
        <f t="shared" si="5"/>
        <v>1.25</v>
      </c>
      <c r="M28" s="51"/>
      <c r="N28" s="62">
        <v>380</v>
      </c>
      <c r="O28" s="51"/>
      <c r="P28" s="62">
        <v>280</v>
      </c>
      <c r="Q28" s="51"/>
      <c r="R28" s="72">
        <f t="shared" si="6"/>
        <v>1.35714</v>
      </c>
      <c r="S28" s="51"/>
      <c r="T28" s="62">
        <v>1040</v>
      </c>
      <c r="V28" s="72">
        <f t="shared" si="2"/>
        <v>0.36537999999999998</v>
      </c>
    </row>
    <row r="29" spans="1:22" ht="16" thickBot="1" x14ac:dyDescent="0.25">
      <c r="A29" s="51"/>
      <c r="B29" s="51"/>
      <c r="C29" s="51"/>
      <c r="D29" s="51"/>
      <c r="E29" s="51"/>
      <c r="F29" s="51" t="s">
        <v>76</v>
      </c>
      <c r="G29" s="51"/>
      <c r="H29" s="63">
        <v>218</v>
      </c>
      <c r="I29" s="51"/>
      <c r="J29" s="63">
        <v>200</v>
      </c>
      <c r="K29" s="51"/>
      <c r="L29" s="82">
        <f t="shared" si="5"/>
        <v>1.0900000000000001</v>
      </c>
      <c r="M29" s="51"/>
      <c r="N29" s="63">
        <v>1381</v>
      </c>
      <c r="O29" s="51"/>
      <c r="P29" s="63">
        <v>800</v>
      </c>
      <c r="Q29" s="51"/>
      <c r="R29" s="82">
        <f t="shared" si="6"/>
        <v>1.7262500000000001</v>
      </c>
      <c r="S29" s="51"/>
      <c r="T29" s="63">
        <v>5000</v>
      </c>
      <c r="V29" s="82">
        <f t="shared" si="2"/>
        <v>0.2762</v>
      </c>
    </row>
    <row r="30" spans="1:22" x14ac:dyDescent="0.2">
      <c r="A30" s="51"/>
      <c r="B30" s="51"/>
      <c r="C30" s="51"/>
      <c r="D30" s="51"/>
      <c r="E30" s="51" t="s">
        <v>77</v>
      </c>
      <c r="F30" s="51"/>
      <c r="G30" s="51"/>
      <c r="H30" s="62">
        <f>ROUND(SUM(H24:H29),5)</f>
        <v>4679</v>
      </c>
      <c r="I30" s="51"/>
      <c r="J30" s="62">
        <f>ROUND(SUM(J24:J29),5)</f>
        <v>4880</v>
      </c>
      <c r="K30" s="51"/>
      <c r="L30" s="72">
        <f t="shared" si="5"/>
        <v>0.95881000000000005</v>
      </c>
      <c r="M30" s="51"/>
      <c r="N30" s="62">
        <f>ROUND(SUM(N24:N29),5)</f>
        <v>16721</v>
      </c>
      <c r="O30" s="51"/>
      <c r="P30" s="62">
        <f>ROUND(SUM(P24:P29),5)</f>
        <v>18480</v>
      </c>
      <c r="Q30" s="51"/>
      <c r="R30" s="72">
        <f t="shared" si="6"/>
        <v>0.90481999999999996</v>
      </c>
      <c r="S30" s="51"/>
      <c r="T30" s="62">
        <f>ROUND(SUM(T24:T29),5)</f>
        <v>80190</v>
      </c>
      <c r="V30" s="72">
        <f t="shared" si="2"/>
        <v>0.20852000000000001</v>
      </c>
    </row>
    <row r="31" spans="1:22" x14ac:dyDescent="0.2">
      <c r="A31" s="51"/>
      <c r="B31" s="51"/>
      <c r="C31" s="51"/>
      <c r="D31" s="51"/>
      <c r="E31" s="51" t="s">
        <v>78</v>
      </c>
      <c r="F31" s="51"/>
      <c r="G31" s="51"/>
      <c r="H31" s="62"/>
      <c r="I31" s="51"/>
      <c r="J31" s="62"/>
      <c r="K31" s="51"/>
      <c r="L31" s="72"/>
      <c r="M31" s="51"/>
      <c r="N31" s="62"/>
      <c r="O31" s="51"/>
      <c r="P31" s="62"/>
      <c r="Q31" s="51"/>
      <c r="R31" s="72"/>
      <c r="S31" s="51"/>
      <c r="T31" s="62"/>
      <c r="V31" s="72"/>
    </row>
    <row r="32" spans="1:22" x14ac:dyDescent="0.2">
      <c r="A32" s="51"/>
      <c r="B32" s="51"/>
      <c r="C32" s="51"/>
      <c r="D32" s="51"/>
      <c r="E32" s="51"/>
      <c r="F32" s="51" t="s">
        <v>79</v>
      </c>
      <c r="G32" s="51"/>
      <c r="H32" s="62"/>
      <c r="I32" s="51"/>
      <c r="J32" s="62"/>
      <c r="K32" s="51"/>
      <c r="L32" s="72"/>
      <c r="M32" s="51"/>
      <c r="N32" s="62"/>
      <c r="O32" s="51"/>
      <c r="P32" s="62"/>
      <c r="Q32" s="51"/>
      <c r="R32" s="72"/>
      <c r="S32" s="51"/>
      <c r="T32" s="62"/>
      <c r="V32" s="72"/>
    </row>
    <row r="33" spans="1:22" x14ac:dyDescent="0.2">
      <c r="A33" s="51"/>
      <c r="B33" s="51"/>
      <c r="C33" s="51"/>
      <c r="D33" s="51"/>
      <c r="E33" s="51"/>
      <c r="F33" s="51"/>
      <c r="G33" s="51" t="s">
        <v>80</v>
      </c>
      <c r="H33" s="62">
        <v>4965</v>
      </c>
      <c r="I33" s="51"/>
      <c r="J33" s="62">
        <v>6800</v>
      </c>
      <c r="K33" s="51"/>
      <c r="L33" s="72">
        <f>ROUND(IF(J33=0, IF(H33=0, 0, 1), H33/J33),5)</f>
        <v>0.73014999999999997</v>
      </c>
      <c r="M33" s="51"/>
      <c r="N33" s="62">
        <v>28777</v>
      </c>
      <c r="O33" s="51"/>
      <c r="P33" s="62">
        <v>34000</v>
      </c>
      <c r="Q33" s="51"/>
      <c r="R33" s="72">
        <f>ROUND(IF(P33=0, IF(N33=0, 0, 1), N33/P33),5)</f>
        <v>0.84638000000000002</v>
      </c>
      <c r="S33" s="51"/>
      <c r="T33" s="62">
        <v>97780</v>
      </c>
      <c r="V33" s="72">
        <f t="shared" si="2"/>
        <v>0.29430000000000001</v>
      </c>
    </row>
    <row r="34" spans="1:22" x14ac:dyDescent="0.2">
      <c r="A34" s="51"/>
      <c r="B34" s="51"/>
      <c r="C34" s="51"/>
      <c r="D34" s="51"/>
      <c r="E34" s="51"/>
      <c r="F34" s="51"/>
      <c r="G34" s="51" t="s">
        <v>81</v>
      </c>
      <c r="H34" s="62">
        <v>7505</v>
      </c>
      <c r="I34" s="51"/>
      <c r="J34" s="62">
        <v>5000</v>
      </c>
      <c r="K34" s="51"/>
      <c r="L34" s="72">
        <f>ROUND(IF(J34=0, IF(H34=0, 0, 1), H34/J34),5)</f>
        <v>1.5009999999999999</v>
      </c>
      <c r="M34" s="51"/>
      <c r="N34" s="62">
        <v>29264</v>
      </c>
      <c r="O34" s="51"/>
      <c r="P34" s="62">
        <v>31300</v>
      </c>
      <c r="Q34" s="51"/>
      <c r="R34" s="72">
        <f>ROUND(IF(P34=0, IF(N34=0, 0, 1), N34/P34),5)</f>
        <v>0.93494999999999995</v>
      </c>
      <c r="S34" s="51"/>
      <c r="T34" s="62">
        <v>50830</v>
      </c>
      <c r="V34" s="72">
        <f t="shared" si="2"/>
        <v>0.57572000000000001</v>
      </c>
    </row>
    <row r="35" spans="1:22" x14ac:dyDescent="0.2">
      <c r="A35" s="51"/>
      <c r="B35" s="51"/>
      <c r="C35" s="51"/>
      <c r="D35" s="51"/>
      <c r="E35" s="51"/>
      <c r="F35" s="51"/>
      <c r="G35" s="51" t="s">
        <v>82</v>
      </c>
      <c r="H35" s="62">
        <v>5200</v>
      </c>
      <c r="I35" s="51"/>
      <c r="J35" s="62">
        <v>5200</v>
      </c>
      <c r="K35" s="51"/>
      <c r="L35" s="72">
        <f>ROUND(IF(J35=0, IF(H35=0, 0, 1), H35/J35),5)</f>
        <v>1</v>
      </c>
      <c r="M35" s="51"/>
      <c r="N35" s="62">
        <v>7160</v>
      </c>
      <c r="O35" s="51"/>
      <c r="P35" s="62">
        <v>7150</v>
      </c>
      <c r="Q35" s="51"/>
      <c r="R35" s="72">
        <f>ROUND(IF(P35=0, IF(N35=0, 0, 1), N35/P35),5)</f>
        <v>1.0014000000000001</v>
      </c>
      <c r="S35" s="51"/>
      <c r="T35" s="62">
        <v>22280</v>
      </c>
      <c r="V35" s="72">
        <f t="shared" si="2"/>
        <v>0.32135999999999998</v>
      </c>
    </row>
    <row r="36" spans="1:22" ht="16" thickBot="1" x14ac:dyDescent="0.25">
      <c r="A36" s="51"/>
      <c r="B36" s="51"/>
      <c r="C36" s="51"/>
      <c r="D36" s="51"/>
      <c r="E36" s="51"/>
      <c r="F36" s="51"/>
      <c r="G36" s="51" t="s">
        <v>83</v>
      </c>
      <c r="H36" s="63">
        <v>0</v>
      </c>
      <c r="I36" s="51"/>
      <c r="J36" s="63">
        <v>300</v>
      </c>
      <c r="K36" s="51"/>
      <c r="L36" s="82">
        <f>ROUND(IF(J36=0, IF(H36=0, 0, 1), H36/J36),5)</f>
        <v>0</v>
      </c>
      <c r="M36" s="51"/>
      <c r="N36" s="63">
        <v>0</v>
      </c>
      <c r="O36" s="51"/>
      <c r="P36" s="63">
        <v>300</v>
      </c>
      <c r="Q36" s="51"/>
      <c r="R36" s="82">
        <f>ROUND(IF(P36=0, IF(N36=0, 0, 1), N36/P36),5)</f>
        <v>0</v>
      </c>
      <c r="S36" s="51"/>
      <c r="T36" s="63">
        <v>3000</v>
      </c>
      <c r="V36" s="82">
        <f t="shared" si="2"/>
        <v>0</v>
      </c>
    </row>
    <row r="37" spans="1:22" x14ac:dyDescent="0.2">
      <c r="A37" s="51"/>
      <c r="B37" s="51"/>
      <c r="C37" s="51"/>
      <c r="D37" s="51"/>
      <c r="E37" s="51"/>
      <c r="F37" s="51" t="s">
        <v>84</v>
      </c>
      <c r="G37" s="51"/>
      <c r="H37" s="62">
        <f>ROUND(SUM(H32:H36),5)</f>
        <v>17670</v>
      </c>
      <c r="I37" s="51"/>
      <c r="J37" s="62">
        <f>ROUND(SUM(J32:J36),5)</f>
        <v>17300</v>
      </c>
      <c r="K37" s="51"/>
      <c r="L37" s="72">
        <f>ROUND(IF(J37=0, IF(H37=0, 0, 1), H37/J37),5)</f>
        <v>1.02139</v>
      </c>
      <c r="M37" s="51"/>
      <c r="N37" s="62">
        <f>ROUND(SUM(N32:N36),5)</f>
        <v>65201</v>
      </c>
      <c r="O37" s="51"/>
      <c r="P37" s="62">
        <f>ROUND(SUM(P32:P36),5)</f>
        <v>72750</v>
      </c>
      <c r="Q37" s="51"/>
      <c r="R37" s="72">
        <f>ROUND(IF(P37=0, IF(N37=0, 0, 1), N37/P37),5)</f>
        <v>0.89622999999999997</v>
      </c>
      <c r="S37" s="51"/>
      <c r="T37" s="62">
        <f>ROUND(SUM(T32:T36),5)</f>
        <v>173890</v>
      </c>
      <c r="V37" s="72">
        <f t="shared" si="2"/>
        <v>0.37496000000000002</v>
      </c>
    </row>
    <row r="38" spans="1:22" x14ac:dyDescent="0.2">
      <c r="A38" s="51"/>
      <c r="B38" s="51"/>
      <c r="C38" s="51"/>
      <c r="D38" s="51"/>
      <c r="E38" s="51"/>
      <c r="F38" s="51" t="s">
        <v>85</v>
      </c>
      <c r="G38" s="51"/>
      <c r="H38" s="62"/>
      <c r="I38" s="51"/>
      <c r="J38" s="62"/>
      <c r="K38" s="51"/>
      <c r="L38" s="72"/>
      <c r="M38" s="51"/>
      <c r="N38" s="62"/>
      <c r="O38" s="51"/>
      <c r="P38" s="62"/>
      <c r="Q38" s="51"/>
      <c r="R38" s="72"/>
      <c r="S38" s="51"/>
      <c r="T38" s="62"/>
      <c r="V38" s="72"/>
    </row>
    <row r="39" spans="1:22" x14ac:dyDescent="0.2">
      <c r="A39" s="51"/>
      <c r="B39" s="51"/>
      <c r="C39" s="51"/>
      <c r="D39" s="51"/>
      <c r="E39" s="51"/>
      <c r="F39" s="51"/>
      <c r="G39" s="51" t="s">
        <v>86</v>
      </c>
      <c r="H39" s="62">
        <v>0</v>
      </c>
      <c r="I39" s="51"/>
      <c r="J39" s="62">
        <v>975</v>
      </c>
      <c r="K39" s="51"/>
      <c r="L39" s="72">
        <f t="shared" ref="L39:L44" si="7">ROUND(IF(J39=0, IF(H39=0, 0, 1), H39/J39),5)</f>
        <v>0</v>
      </c>
      <c r="M39" s="51"/>
      <c r="N39" s="62">
        <v>1076</v>
      </c>
      <c r="O39" s="51"/>
      <c r="P39" s="62">
        <v>1665</v>
      </c>
      <c r="Q39" s="51"/>
      <c r="R39" s="72">
        <f t="shared" ref="R39:R44" si="8">ROUND(IF(P39=0, IF(N39=0, 0, 1), N39/P39),5)</f>
        <v>0.64624999999999999</v>
      </c>
      <c r="S39" s="51"/>
      <c r="T39" s="62">
        <v>7540</v>
      </c>
      <c r="V39" s="72">
        <f t="shared" si="2"/>
        <v>0.14271</v>
      </c>
    </row>
    <row r="40" spans="1:22" x14ac:dyDescent="0.2">
      <c r="A40" s="51"/>
      <c r="B40" s="51"/>
      <c r="C40" s="51"/>
      <c r="D40" s="51"/>
      <c r="E40" s="51"/>
      <c r="F40" s="51"/>
      <c r="G40" s="51" t="s">
        <v>87</v>
      </c>
      <c r="H40" s="62">
        <v>3521</v>
      </c>
      <c r="I40" s="51"/>
      <c r="J40" s="62">
        <v>3410</v>
      </c>
      <c r="K40" s="51"/>
      <c r="L40" s="72">
        <f t="shared" si="7"/>
        <v>1.0325500000000001</v>
      </c>
      <c r="M40" s="51"/>
      <c r="N40" s="62">
        <v>7671</v>
      </c>
      <c r="O40" s="51"/>
      <c r="P40" s="62">
        <v>9723</v>
      </c>
      <c r="Q40" s="51"/>
      <c r="R40" s="72">
        <f t="shared" si="8"/>
        <v>0.78895000000000004</v>
      </c>
      <c r="S40" s="51"/>
      <c r="T40" s="62">
        <v>28590</v>
      </c>
      <c r="V40" s="72">
        <f t="shared" si="2"/>
        <v>0.26830999999999999</v>
      </c>
    </row>
    <row r="41" spans="1:22" x14ac:dyDescent="0.2">
      <c r="A41" s="51"/>
      <c r="B41" s="51"/>
      <c r="C41" s="51"/>
      <c r="D41" s="51"/>
      <c r="E41" s="51"/>
      <c r="F41" s="51"/>
      <c r="G41" s="51" t="s">
        <v>88</v>
      </c>
      <c r="H41" s="62">
        <v>650</v>
      </c>
      <c r="I41" s="51"/>
      <c r="J41" s="62">
        <v>1950</v>
      </c>
      <c r="K41" s="51"/>
      <c r="L41" s="72">
        <f t="shared" si="7"/>
        <v>0.33333000000000002</v>
      </c>
      <c r="M41" s="51"/>
      <c r="N41" s="62">
        <v>6342</v>
      </c>
      <c r="O41" s="51"/>
      <c r="P41" s="62">
        <v>2925</v>
      </c>
      <c r="Q41" s="51"/>
      <c r="R41" s="72">
        <f t="shared" si="8"/>
        <v>2.1682100000000002</v>
      </c>
      <c r="S41" s="51"/>
      <c r="T41" s="62">
        <v>8670</v>
      </c>
      <c r="V41" s="72">
        <f t="shared" si="2"/>
        <v>0.73148999999999997</v>
      </c>
    </row>
    <row r="42" spans="1:22" ht="16" thickBot="1" x14ac:dyDescent="0.25">
      <c r="A42" s="51"/>
      <c r="B42" s="51"/>
      <c r="C42" s="51"/>
      <c r="D42" s="51"/>
      <c r="E42" s="51"/>
      <c r="F42" s="51"/>
      <c r="G42" s="51" t="s">
        <v>89</v>
      </c>
      <c r="H42" s="64">
        <v>495</v>
      </c>
      <c r="I42" s="51"/>
      <c r="J42" s="64">
        <v>0</v>
      </c>
      <c r="K42" s="51"/>
      <c r="L42" s="83">
        <f t="shared" si="7"/>
        <v>1</v>
      </c>
      <c r="M42" s="51"/>
      <c r="N42" s="64">
        <v>574</v>
      </c>
      <c r="O42" s="51"/>
      <c r="P42" s="64">
        <v>85</v>
      </c>
      <c r="Q42" s="51"/>
      <c r="R42" s="83">
        <f t="shared" si="8"/>
        <v>6.7529399999999997</v>
      </c>
      <c r="S42" s="51"/>
      <c r="T42" s="64">
        <v>2800</v>
      </c>
      <c r="V42" s="83">
        <f t="shared" si="2"/>
        <v>0.20499999999999999</v>
      </c>
    </row>
    <row r="43" spans="1:22" ht="16" thickBot="1" x14ac:dyDescent="0.25">
      <c r="A43" s="51"/>
      <c r="B43" s="51"/>
      <c r="C43" s="51"/>
      <c r="D43" s="51"/>
      <c r="E43" s="51"/>
      <c r="F43" s="51" t="s">
        <v>90</v>
      </c>
      <c r="G43" s="51"/>
      <c r="H43" s="65">
        <f>ROUND(SUM(H38:H42),5)</f>
        <v>4666</v>
      </c>
      <c r="I43" s="51"/>
      <c r="J43" s="65">
        <f>ROUND(SUM(J38:J42),5)</f>
        <v>6335</v>
      </c>
      <c r="K43" s="51"/>
      <c r="L43" s="84">
        <f t="shared" si="7"/>
        <v>0.73653999999999997</v>
      </c>
      <c r="M43" s="51"/>
      <c r="N43" s="65">
        <f>ROUND(SUM(N38:N42),5)</f>
        <v>15663</v>
      </c>
      <c r="O43" s="51"/>
      <c r="P43" s="65">
        <f>ROUND(SUM(P38:P42),5)</f>
        <v>14398</v>
      </c>
      <c r="Q43" s="51"/>
      <c r="R43" s="84">
        <f t="shared" si="8"/>
        <v>1.08786</v>
      </c>
      <c r="S43" s="51"/>
      <c r="T43" s="65">
        <f>ROUND(SUM(T38:T42),5)</f>
        <v>47600</v>
      </c>
      <c r="V43" s="84">
        <f t="shared" si="2"/>
        <v>0.32905000000000001</v>
      </c>
    </row>
    <row r="44" spans="1:22" x14ac:dyDescent="0.2">
      <c r="A44" s="51"/>
      <c r="B44" s="51"/>
      <c r="C44" s="51"/>
      <c r="D44" s="51"/>
      <c r="E44" s="51" t="s">
        <v>91</v>
      </c>
      <c r="F44" s="51"/>
      <c r="G44" s="51"/>
      <c r="H44" s="62">
        <f>ROUND(H31+H37+H43,5)</f>
        <v>22336</v>
      </c>
      <c r="I44" s="51"/>
      <c r="J44" s="62">
        <f>ROUND(J31+J37+J43,5)</f>
        <v>23635</v>
      </c>
      <c r="K44" s="51"/>
      <c r="L44" s="72">
        <f t="shared" si="7"/>
        <v>0.94503999999999999</v>
      </c>
      <c r="M44" s="51"/>
      <c r="N44" s="62">
        <f>ROUND(N31+N37+N43,5)</f>
        <v>80864</v>
      </c>
      <c r="O44" s="51"/>
      <c r="P44" s="62">
        <f>ROUND(P31+P37+P43,5)</f>
        <v>87148</v>
      </c>
      <c r="Q44" s="51"/>
      <c r="R44" s="72">
        <f t="shared" si="8"/>
        <v>0.92788999999999999</v>
      </c>
      <c r="S44" s="51"/>
      <c r="T44" s="62">
        <f>ROUND(T31+T37+T43,5)</f>
        <v>221490</v>
      </c>
      <c r="V44" s="72">
        <f t="shared" si="2"/>
        <v>0.36509000000000003</v>
      </c>
    </row>
    <row r="45" spans="1:22" x14ac:dyDescent="0.2">
      <c r="A45" s="51"/>
      <c r="B45" s="51"/>
      <c r="C45" s="51"/>
      <c r="D45" s="51"/>
      <c r="E45" s="51" t="s">
        <v>92</v>
      </c>
      <c r="F45" s="51"/>
      <c r="G45" s="51"/>
      <c r="H45" s="62"/>
      <c r="I45" s="51"/>
      <c r="J45" s="62"/>
      <c r="K45" s="51"/>
      <c r="L45" s="72"/>
      <c r="M45" s="51"/>
      <c r="N45" s="62"/>
      <c r="O45" s="51"/>
      <c r="P45" s="62"/>
      <c r="Q45" s="51"/>
      <c r="R45" s="72"/>
      <c r="S45" s="51"/>
      <c r="T45" s="62"/>
      <c r="V45" s="72"/>
    </row>
    <row r="46" spans="1:22" x14ac:dyDescent="0.2">
      <c r="A46" s="51"/>
      <c r="B46" s="51"/>
      <c r="C46" s="51"/>
      <c r="D46" s="51"/>
      <c r="E46" s="51"/>
      <c r="F46" s="51" t="s">
        <v>93</v>
      </c>
      <c r="G46" s="51"/>
      <c r="H46" s="62"/>
      <c r="I46" s="51"/>
      <c r="J46" s="62"/>
      <c r="K46" s="51"/>
      <c r="L46" s="72"/>
      <c r="M46" s="51"/>
      <c r="N46" s="62"/>
      <c r="O46" s="51"/>
      <c r="P46" s="62"/>
      <c r="Q46" s="51"/>
      <c r="R46" s="72"/>
      <c r="S46" s="51"/>
      <c r="T46" s="62"/>
      <c r="V46" s="72"/>
    </row>
    <row r="47" spans="1:22" x14ac:dyDescent="0.2">
      <c r="A47" s="51"/>
      <c r="B47" s="51"/>
      <c r="C47" s="51"/>
      <c r="D47" s="51"/>
      <c r="E47" s="51"/>
      <c r="F47" s="51"/>
      <c r="G47" s="51" t="s">
        <v>94</v>
      </c>
      <c r="H47" s="62">
        <v>0</v>
      </c>
      <c r="I47" s="51"/>
      <c r="J47" s="62">
        <v>0</v>
      </c>
      <c r="K47" s="51"/>
      <c r="L47" s="72">
        <f t="shared" ref="L47:L52" si="9">ROUND(IF(J47=0, IF(H47=0, 0, 1), H47/J47),5)</f>
        <v>0</v>
      </c>
      <c r="M47" s="51"/>
      <c r="N47" s="62">
        <v>500</v>
      </c>
      <c r="O47" s="51"/>
      <c r="P47" s="62">
        <v>500</v>
      </c>
      <c r="Q47" s="51"/>
      <c r="R47" s="72">
        <f t="shared" ref="R47:R52" si="10">ROUND(IF(P47=0, IF(N47=0, 0, 1), N47/P47),5)</f>
        <v>1</v>
      </c>
      <c r="S47" s="51"/>
      <c r="T47" s="62">
        <v>500</v>
      </c>
      <c r="V47" s="72">
        <f t="shared" si="2"/>
        <v>1</v>
      </c>
    </row>
    <row r="48" spans="1:22" x14ac:dyDescent="0.2">
      <c r="A48" s="51"/>
      <c r="B48" s="51"/>
      <c r="C48" s="51"/>
      <c r="D48" s="51"/>
      <c r="E48" s="51"/>
      <c r="F48" s="51"/>
      <c r="G48" s="51" t="s">
        <v>95</v>
      </c>
      <c r="H48" s="62">
        <v>0</v>
      </c>
      <c r="I48" s="51"/>
      <c r="J48" s="62">
        <v>0</v>
      </c>
      <c r="K48" s="51"/>
      <c r="L48" s="72">
        <f t="shared" si="9"/>
        <v>0</v>
      </c>
      <c r="M48" s="51"/>
      <c r="N48" s="62">
        <v>9443</v>
      </c>
      <c r="O48" s="51"/>
      <c r="P48" s="62">
        <v>8500</v>
      </c>
      <c r="Q48" s="51"/>
      <c r="R48" s="72">
        <f t="shared" si="10"/>
        <v>1.11094</v>
      </c>
      <c r="S48" s="51"/>
      <c r="T48" s="62">
        <v>8500</v>
      </c>
      <c r="V48" s="72">
        <f t="shared" si="2"/>
        <v>1.11094</v>
      </c>
    </row>
    <row r="49" spans="1:22" x14ac:dyDescent="0.2">
      <c r="A49" s="51"/>
      <c r="B49" s="51"/>
      <c r="C49" s="51"/>
      <c r="D49" s="51"/>
      <c r="E49" s="51"/>
      <c r="F49" s="51"/>
      <c r="G49" s="51" t="s">
        <v>96</v>
      </c>
      <c r="H49" s="62">
        <v>0</v>
      </c>
      <c r="I49" s="51"/>
      <c r="J49" s="62">
        <v>0</v>
      </c>
      <c r="K49" s="51"/>
      <c r="L49" s="72">
        <f t="shared" si="9"/>
        <v>0</v>
      </c>
      <c r="M49" s="51"/>
      <c r="N49" s="62">
        <v>4412</v>
      </c>
      <c r="O49" s="51"/>
      <c r="P49" s="62">
        <v>7300</v>
      </c>
      <c r="Q49" s="51"/>
      <c r="R49" s="72">
        <f t="shared" si="10"/>
        <v>0.60438000000000003</v>
      </c>
      <c r="S49" s="51"/>
      <c r="T49" s="62">
        <v>7300</v>
      </c>
      <c r="V49" s="72">
        <f t="shared" si="2"/>
        <v>0.60438000000000003</v>
      </c>
    </row>
    <row r="50" spans="1:22" x14ac:dyDescent="0.2">
      <c r="A50" s="51"/>
      <c r="B50" s="51"/>
      <c r="C50" s="51"/>
      <c r="D50" s="51"/>
      <c r="E50" s="51"/>
      <c r="F50" s="51"/>
      <c r="G50" s="51" t="s">
        <v>97</v>
      </c>
      <c r="H50" s="62">
        <v>0</v>
      </c>
      <c r="I50" s="51"/>
      <c r="J50" s="62">
        <v>0</v>
      </c>
      <c r="K50" s="51"/>
      <c r="L50" s="72">
        <f t="shared" si="9"/>
        <v>0</v>
      </c>
      <c r="M50" s="51"/>
      <c r="N50" s="62">
        <v>49418</v>
      </c>
      <c r="O50" s="51"/>
      <c r="P50" s="62">
        <v>78700</v>
      </c>
      <c r="Q50" s="51"/>
      <c r="R50" s="72">
        <f t="shared" si="10"/>
        <v>0.62792999999999999</v>
      </c>
      <c r="S50" s="51"/>
      <c r="T50" s="62">
        <v>78700</v>
      </c>
      <c r="V50" s="72">
        <f t="shared" si="2"/>
        <v>0.62792999999999999</v>
      </c>
    </row>
    <row r="51" spans="1:22" ht="16" thickBot="1" x14ac:dyDescent="0.25">
      <c r="A51" s="51"/>
      <c r="B51" s="51"/>
      <c r="C51" s="51"/>
      <c r="D51" s="51"/>
      <c r="E51" s="51"/>
      <c r="F51" s="51"/>
      <c r="G51" s="51" t="s">
        <v>98</v>
      </c>
      <c r="H51" s="63">
        <v>-189</v>
      </c>
      <c r="I51" s="51"/>
      <c r="J51" s="63">
        <v>0</v>
      </c>
      <c r="K51" s="51"/>
      <c r="L51" s="82">
        <f t="shared" si="9"/>
        <v>1</v>
      </c>
      <c r="M51" s="51"/>
      <c r="N51" s="63">
        <v>-11125</v>
      </c>
      <c r="O51" s="51"/>
      <c r="P51" s="63">
        <v>-13000</v>
      </c>
      <c r="Q51" s="51"/>
      <c r="R51" s="82">
        <f t="shared" si="10"/>
        <v>0.85577000000000003</v>
      </c>
      <c r="S51" s="51"/>
      <c r="T51" s="63">
        <v>-13000</v>
      </c>
      <c r="V51" s="82">
        <f t="shared" si="2"/>
        <v>0.85577000000000003</v>
      </c>
    </row>
    <row r="52" spans="1:22" x14ac:dyDescent="0.2">
      <c r="A52" s="51"/>
      <c r="B52" s="51"/>
      <c r="C52" s="51"/>
      <c r="D52" s="51"/>
      <c r="E52" s="51"/>
      <c r="F52" s="51" t="s">
        <v>99</v>
      </c>
      <c r="G52" s="51"/>
      <c r="H52" s="62">
        <f>ROUND(SUM(H46:H51),5)</f>
        <v>-189</v>
      </c>
      <c r="I52" s="51"/>
      <c r="J52" s="62">
        <f>ROUND(SUM(J46:J51),5)</f>
        <v>0</v>
      </c>
      <c r="K52" s="51"/>
      <c r="L52" s="72">
        <f t="shared" si="9"/>
        <v>1</v>
      </c>
      <c r="M52" s="51"/>
      <c r="N52" s="62">
        <f>ROUND(SUM(N46:N51),5)</f>
        <v>52648</v>
      </c>
      <c r="O52" s="51"/>
      <c r="P52" s="62">
        <f>ROUND(SUM(P46:P51),5)</f>
        <v>82000</v>
      </c>
      <c r="Q52" s="51"/>
      <c r="R52" s="72">
        <f t="shared" si="10"/>
        <v>0.64205000000000001</v>
      </c>
      <c r="S52" s="51"/>
      <c r="T52" s="62">
        <f>ROUND(SUM(T46:T51),5)</f>
        <v>82000</v>
      </c>
      <c r="V52" s="72">
        <f t="shared" si="2"/>
        <v>0.64205000000000001</v>
      </c>
    </row>
    <row r="53" spans="1:22" x14ac:dyDescent="0.2">
      <c r="A53" s="51"/>
      <c r="B53" s="51"/>
      <c r="C53" s="51"/>
      <c r="D53" s="51"/>
      <c r="E53" s="51"/>
      <c r="F53" s="51" t="s">
        <v>100</v>
      </c>
      <c r="G53" s="51"/>
      <c r="H53" s="62"/>
      <c r="I53" s="51"/>
      <c r="J53" s="62"/>
      <c r="K53" s="51"/>
      <c r="L53" s="72"/>
      <c r="M53" s="51"/>
      <c r="N53" s="62"/>
      <c r="O53" s="51"/>
      <c r="P53" s="62"/>
      <c r="Q53" s="51"/>
      <c r="R53" s="72"/>
      <c r="S53" s="51"/>
      <c r="T53" s="62"/>
      <c r="V53" s="72"/>
    </row>
    <row r="54" spans="1:22" x14ac:dyDescent="0.2">
      <c r="A54" s="51"/>
      <c r="B54" s="51"/>
      <c r="C54" s="51"/>
      <c r="D54" s="51"/>
      <c r="E54" s="51"/>
      <c r="F54" s="51"/>
      <c r="G54" s="51" t="s">
        <v>101</v>
      </c>
      <c r="H54" s="62">
        <v>80</v>
      </c>
      <c r="I54" s="51"/>
      <c r="J54" s="62">
        <v>0</v>
      </c>
      <c r="K54" s="51"/>
      <c r="L54" s="72">
        <f>ROUND(IF(J54=0, IF(H54=0, 0, 1), H54/J54),5)</f>
        <v>1</v>
      </c>
      <c r="M54" s="51"/>
      <c r="N54" s="62">
        <v>195</v>
      </c>
      <c r="O54" s="51"/>
      <c r="P54" s="62">
        <v>0</v>
      </c>
      <c r="Q54" s="51"/>
      <c r="R54" s="72">
        <f>ROUND(IF(P54=0, IF(N54=0, 0, 1), N54/P54),5)</f>
        <v>1</v>
      </c>
      <c r="S54" s="51"/>
      <c r="T54" s="62">
        <v>50600</v>
      </c>
      <c r="V54" s="72">
        <f t="shared" si="2"/>
        <v>3.8500000000000001E-3</v>
      </c>
    </row>
    <row r="55" spans="1:22" ht="16" thickBot="1" x14ac:dyDescent="0.25">
      <c r="A55" s="51"/>
      <c r="B55" s="51"/>
      <c r="C55" s="51"/>
      <c r="D55" s="51"/>
      <c r="E55" s="51"/>
      <c r="F55" s="51"/>
      <c r="G55" s="51" t="s">
        <v>102</v>
      </c>
      <c r="H55" s="64">
        <v>0</v>
      </c>
      <c r="I55" s="51"/>
      <c r="J55" s="64">
        <v>0</v>
      </c>
      <c r="K55" s="51"/>
      <c r="L55" s="83">
        <f>ROUND(IF(J55=0, IF(H55=0, 0, 1), H55/J55),5)</f>
        <v>0</v>
      </c>
      <c r="M55" s="51"/>
      <c r="N55" s="64">
        <v>0</v>
      </c>
      <c r="O55" s="51"/>
      <c r="P55" s="64">
        <v>0</v>
      </c>
      <c r="Q55" s="51"/>
      <c r="R55" s="83">
        <f>ROUND(IF(P55=0, IF(N55=0, 0, 1), N55/P55),5)</f>
        <v>0</v>
      </c>
      <c r="S55" s="51"/>
      <c r="T55" s="64">
        <v>-2650</v>
      </c>
      <c r="V55" s="83">
        <f t="shared" si="2"/>
        <v>0</v>
      </c>
    </row>
    <row r="56" spans="1:22" ht="16" thickBot="1" x14ac:dyDescent="0.25">
      <c r="A56" s="51"/>
      <c r="B56" s="51"/>
      <c r="C56" s="51"/>
      <c r="D56" s="51"/>
      <c r="E56" s="51"/>
      <c r="F56" s="51" t="s">
        <v>103</v>
      </c>
      <c r="G56" s="51"/>
      <c r="H56" s="65">
        <f>ROUND(SUM(H53:H55),5)</f>
        <v>80</v>
      </c>
      <c r="I56" s="51"/>
      <c r="J56" s="65">
        <f>ROUND(SUM(J53:J55),5)</f>
        <v>0</v>
      </c>
      <c r="K56" s="51"/>
      <c r="L56" s="84">
        <f>ROUND(IF(J56=0, IF(H56=0, 0, 1), H56/J56),5)</f>
        <v>1</v>
      </c>
      <c r="M56" s="51"/>
      <c r="N56" s="65">
        <f>ROUND(SUM(N53:N55),5)</f>
        <v>195</v>
      </c>
      <c r="O56" s="51"/>
      <c r="P56" s="65">
        <f>ROUND(SUM(P53:P55),5)</f>
        <v>0</v>
      </c>
      <c r="Q56" s="51"/>
      <c r="R56" s="84">
        <f>ROUND(IF(P56=0, IF(N56=0, 0, 1), N56/P56),5)</f>
        <v>1</v>
      </c>
      <c r="S56" s="51"/>
      <c r="T56" s="65">
        <f>ROUND(SUM(T53:T55),5)</f>
        <v>47950</v>
      </c>
      <c r="V56" s="84">
        <f t="shared" si="2"/>
        <v>4.0699999999999998E-3</v>
      </c>
    </row>
    <row r="57" spans="1:22" x14ac:dyDescent="0.2">
      <c r="A57" s="51"/>
      <c r="B57" s="51"/>
      <c r="C57" s="51"/>
      <c r="D57" s="51"/>
      <c r="E57" s="51" t="s">
        <v>104</v>
      </c>
      <c r="F57" s="51"/>
      <c r="G57" s="51"/>
      <c r="H57" s="62">
        <f>ROUND(H45+H52+H56,5)</f>
        <v>-109</v>
      </c>
      <c r="I57" s="51"/>
      <c r="J57" s="62">
        <f>ROUND(J45+J52+J56,5)</f>
        <v>0</v>
      </c>
      <c r="K57" s="51"/>
      <c r="L57" s="72">
        <f>ROUND(IF(J57=0, IF(H57=0, 0, 1), H57/J57),5)</f>
        <v>1</v>
      </c>
      <c r="M57" s="51"/>
      <c r="N57" s="62">
        <f>ROUND(N45+N52+N56,5)</f>
        <v>52843</v>
      </c>
      <c r="O57" s="51"/>
      <c r="P57" s="62">
        <f>ROUND(P45+P52+P56,5)</f>
        <v>82000</v>
      </c>
      <c r="Q57" s="51"/>
      <c r="R57" s="72">
        <f>ROUND(IF(P57=0, IF(N57=0, 0, 1), N57/P57),5)</f>
        <v>0.64442999999999995</v>
      </c>
      <c r="S57" s="51"/>
      <c r="T57" s="62">
        <f>ROUND(T45+T52+T56,5)</f>
        <v>129950</v>
      </c>
      <c r="V57" s="72">
        <f t="shared" si="2"/>
        <v>0.40664</v>
      </c>
    </row>
    <row r="58" spans="1:22" x14ac:dyDescent="0.2">
      <c r="A58" s="51"/>
      <c r="B58" s="51"/>
      <c r="C58" s="51"/>
      <c r="D58" s="51"/>
      <c r="E58" s="51" t="s">
        <v>105</v>
      </c>
      <c r="F58" s="51"/>
      <c r="G58" s="51"/>
      <c r="H58" s="62">
        <v>0</v>
      </c>
      <c r="I58" s="51"/>
      <c r="J58" s="62">
        <v>25</v>
      </c>
      <c r="K58" s="51"/>
      <c r="L58" s="72">
        <f>ROUND(IF(J58=0, IF(H58=0, 0, 1), H58/J58),5)</f>
        <v>0</v>
      </c>
      <c r="M58" s="51"/>
      <c r="N58" s="62">
        <v>900</v>
      </c>
      <c r="O58" s="51"/>
      <c r="P58" s="62">
        <v>25</v>
      </c>
      <c r="Q58" s="51"/>
      <c r="R58" s="72">
        <f>ROUND(IF(P58=0, IF(N58=0, 0, 1), N58/P58),5)</f>
        <v>36</v>
      </c>
      <c r="S58" s="51"/>
      <c r="T58" s="62">
        <v>100</v>
      </c>
      <c r="V58" s="72">
        <f t="shared" si="2"/>
        <v>9</v>
      </c>
    </row>
    <row r="59" spans="1:22" x14ac:dyDescent="0.2">
      <c r="A59" s="51"/>
      <c r="B59" s="51"/>
      <c r="C59" s="51"/>
      <c r="D59" s="51"/>
      <c r="E59" s="51" t="s">
        <v>106</v>
      </c>
      <c r="F59" s="51"/>
      <c r="G59" s="51"/>
      <c r="H59" s="62"/>
      <c r="I59" s="51"/>
      <c r="J59" s="62"/>
      <c r="K59" s="51"/>
      <c r="L59" s="72"/>
      <c r="M59" s="51"/>
      <c r="N59" s="62"/>
      <c r="O59" s="51"/>
      <c r="P59" s="62"/>
      <c r="Q59" s="51"/>
      <c r="R59" s="72"/>
      <c r="S59" s="51"/>
      <c r="T59" s="62"/>
      <c r="V59" s="72"/>
    </row>
    <row r="60" spans="1:22" x14ac:dyDescent="0.2">
      <c r="A60" s="51"/>
      <c r="B60" s="51"/>
      <c r="C60" s="51"/>
      <c r="D60" s="51"/>
      <c r="E60" s="51"/>
      <c r="F60" s="51" t="s">
        <v>107</v>
      </c>
      <c r="G60" s="51"/>
      <c r="H60" s="62">
        <v>13305</v>
      </c>
      <c r="I60" s="51"/>
      <c r="J60" s="62">
        <v>6883</v>
      </c>
      <c r="K60" s="51"/>
      <c r="L60" s="72">
        <f t="shared" ref="L60:L65" si="11">ROUND(IF(J60=0, IF(H60=0, 0, 1), H60/J60),5)</f>
        <v>1.93302</v>
      </c>
      <c r="M60" s="51"/>
      <c r="N60" s="62">
        <v>23909</v>
      </c>
      <c r="O60" s="51"/>
      <c r="P60" s="62">
        <v>20031</v>
      </c>
      <c r="Q60" s="51"/>
      <c r="R60" s="72">
        <f t="shared" ref="R60:R65" si="12">ROUND(IF(P60=0, IF(N60=0, 0, 1), N60/P60),5)</f>
        <v>1.1936</v>
      </c>
      <c r="S60" s="51"/>
      <c r="T60" s="62">
        <v>125434</v>
      </c>
      <c r="V60" s="72">
        <f t="shared" si="2"/>
        <v>0.19061</v>
      </c>
    </row>
    <row r="61" spans="1:22" x14ac:dyDescent="0.2">
      <c r="A61" s="51"/>
      <c r="B61" s="51"/>
      <c r="C61" s="51"/>
      <c r="D61" s="51"/>
      <c r="E61" s="51"/>
      <c r="F61" s="51" t="s">
        <v>108</v>
      </c>
      <c r="G61" s="51"/>
      <c r="H61" s="62">
        <v>2185</v>
      </c>
      <c r="I61" s="51"/>
      <c r="J61" s="62">
        <v>1434</v>
      </c>
      <c r="K61" s="51"/>
      <c r="L61" s="72">
        <f t="shared" si="11"/>
        <v>1.5237099999999999</v>
      </c>
      <c r="M61" s="51"/>
      <c r="N61" s="62">
        <v>6243</v>
      </c>
      <c r="O61" s="51"/>
      <c r="P61" s="62">
        <v>4174</v>
      </c>
      <c r="Q61" s="51"/>
      <c r="R61" s="72">
        <f t="shared" si="12"/>
        <v>1.49569</v>
      </c>
      <c r="S61" s="51"/>
      <c r="T61" s="62">
        <v>26130</v>
      </c>
      <c r="V61" s="72">
        <f t="shared" si="2"/>
        <v>0.23891999999999999</v>
      </c>
    </row>
    <row r="62" spans="1:22" x14ac:dyDescent="0.2">
      <c r="A62" s="51"/>
      <c r="B62" s="51"/>
      <c r="C62" s="51"/>
      <c r="D62" s="51"/>
      <c r="E62" s="51"/>
      <c r="F62" s="51" t="s">
        <v>109</v>
      </c>
      <c r="G62" s="51"/>
      <c r="H62" s="62">
        <v>2345</v>
      </c>
      <c r="I62" s="51"/>
      <c r="J62" s="62">
        <v>1243</v>
      </c>
      <c r="K62" s="51"/>
      <c r="L62" s="72">
        <f t="shared" si="11"/>
        <v>1.88656</v>
      </c>
      <c r="M62" s="51"/>
      <c r="N62" s="62">
        <v>5102</v>
      </c>
      <c r="O62" s="51"/>
      <c r="P62" s="62">
        <v>3617</v>
      </c>
      <c r="Q62" s="51"/>
      <c r="R62" s="72">
        <f t="shared" si="12"/>
        <v>1.41056</v>
      </c>
      <c r="S62" s="51"/>
      <c r="T62" s="62">
        <v>22646</v>
      </c>
      <c r="V62" s="72">
        <f t="shared" si="2"/>
        <v>0.22528999999999999</v>
      </c>
    </row>
    <row r="63" spans="1:22" ht="16" thickBot="1" x14ac:dyDescent="0.25">
      <c r="A63" s="51"/>
      <c r="B63" s="51"/>
      <c r="C63" s="51"/>
      <c r="D63" s="51"/>
      <c r="E63" s="51"/>
      <c r="F63" s="51" t="s">
        <v>110</v>
      </c>
      <c r="G63" s="51"/>
      <c r="H63" s="64">
        <v>0</v>
      </c>
      <c r="I63" s="51"/>
      <c r="J63" s="64">
        <v>0</v>
      </c>
      <c r="K63" s="51"/>
      <c r="L63" s="83">
        <f t="shared" si="11"/>
        <v>0</v>
      </c>
      <c r="M63" s="51"/>
      <c r="N63" s="64">
        <v>0</v>
      </c>
      <c r="O63" s="51"/>
      <c r="P63" s="64">
        <v>0</v>
      </c>
      <c r="Q63" s="51"/>
      <c r="R63" s="83">
        <f t="shared" si="12"/>
        <v>0</v>
      </c>
      <c r="S63" s="51"/>
      <c r="T63" s="64">
        <v>360</v>
      </c>
      <c r="V63" s="83">
        <f t="shared" si="2"/>
        <v>0</v>
      </c>
    </row>
    <row r="64" spans="1:22" ht="16" thickBot="1" x14ac:dyDescent="0.25">
      <c r="A64" s="51"/>
      <c r="B64" s="51"/>
      <c r="C64" s="51"/>
      <c r="D64" s="51"/>
      <c r="E64" s="51" t="s">
        <v>111</v>
      </c>
      <c r="F64" s="51"/>
      <c r="G64" s="51"/>
      <c r="H64" s="65">
        <f>ROUND(SUM(H59:H63),5)</f>
        <v>17835</v>
      </c>
      <c r="I64" s="51"/>
      <c r="J64" s="65">
        <f>ROUND(SUM(J59:J63),5)</f>
        <v>9560</v>
      </c>
      <c r="K64" s="51"/>
      <c r="L64" s="84">
        <f t="shared" si="11"/>
        <v>1.8655900000000001</v>
      </c>
      <c r="M64" s="51"/>
      <c r="N64" s="65">
        <f>ROUND(SUM(N59:N63),5)</f>
        <v>35254</v>
      </c>
      <c r="O64" s="51"/>
      <c r="P64" s="65">
        <f>ROUND(SUM(P59:P63),5)</f>
        <v>27822</v>
      </c>
      <c r="Q64" s="51"/>
      <c r="R64" s="84">
        <f t="shared" si="12"/>
        <v>1.2671300000000001</v>
      </c>
      <c r="S64" s="51"/>
      <c r="T64" s="65">
        <f>ROUND(SUM(T59:T63),5)</f>
        <v>174570</v>
      </c>
      <c r="V64" s="84">
        <f t="shared" si="2"/>
        <v>0.20194999999999999</v>
      </c>
    </row>
    <row r="65" spans="1:22" x14ac:dyDescent="0.2">
      <c r="A65" s="51"/>
      <c r="B65" s="51"/>
      <c r="C65" s="51"/>
      <c r="D65" s="51" t="s">
        <v>112</v>
      </c>
      <c r="E65" s="51"/>
      <c r="F65" s="51"/>
      <c r="G65" s="51"/>
      <c r="H65" s="62">
        <f>ROUND(H4+H11+H18+H23+H30+H44+SUM(H57:H58)+H64,5)</f>
        <v>96902</v>
      </c>
      <c r="I65" s="51"/>
      <c r="J65" s="62">
        <f>ROUND(J4+J11+J18+J23+J30+J44+SUM(J57:J58)+J64,5)</f>
        <v>86920</v>
      </c>
      <c r="K65" s="51"/>
      <c r="L65" s="72">
        <f t="shared" si="11"/>
        <v>1.1148400000000001</v>
      </c>
      <c r="M65" s="51"/>
      <c r="N65" s="62">
        <f>ROUND(N4+N11+N18+N23+N30+N44+SUM(N57:N58)+N64,5)</f>
        <v>396374</v>
      </c>
      <c r="O65" s="51"/>
      <c r="P65" s="62">
        <f>ROUND(P4+P11+P18+P23+P30+P44+SUM(P57:P58)+P64,5)</f>
        <v>416335</v>
      </c>
      <c r="Q65" s="51"/>
      <c r="R65" s="72">
        <f t="shared" si="12"/>
        <v>0.95206000000000002</v>
      </c>
      <c r="S65" s="51"/>
      <c r="T65" s="62">
        <f>ROUND(T4+T11+T18+T23+T30+T44+SUM(T57:T58)+T64,5)</f>
        <v>1269670</v>
      </c>
      <c r="V65" s="72">
        <f t="shared" si="2"/>
        <v>0.31219000000000002</v>
      </c>
    </row>
    <row r="66" spans="1:22" x14ac:dyDescent="0.2">
      <c r="A66" s="51"/>
      <c r="B66" s="51"/>
      <c r="C66" s="51"/>
      <c r="D66" s="51" t="s">
        <v>113</v>
      </c>
      <c r="E66" s="51"/>
      <c r="F66" s="51"/>
      <c r="G66" s="51"/>
      <c r="H66" s="62"/>
      <c r="I66" s="51"/>
      <c r="J66" s="62"/>
      <c r="K66" s="51"/>
      <c r="L66" s="72"/>
      <c r="M66" s="51"/>
      <c r="N66" s="62"/>
      <c r="O66" s="51"/>
      <c r="P66" s="62"/>
      <c r="Q66" s="51"/>
      <c r="R66" s="72"/>
      <c r="S66" s="51"/>
      <c r="T66" s="62"/>
      <c r="V66" s="72"/>
    </row>
    <row r="67" spans="1:22" x14ac:dyDescent="0.2">
      <c r="A67" s="51"/>
      <c r="B67" s="51"/>
      <c r="C67" s="51"/>
      <c r="D67" s="51"/>
      <c r="E67" s="51" t="s">
        <v>114</v>
      </c>
      <c r="F67" s="51"/>
      <c r="G67" s="51"/>
      <c r="H67" s="62">
        <v>393</v>
      </c>
      <c r="I67" s="51"/>
      <c r="J67" s="62">
        <v>300</v>
      </c>
      <c r="K67" s="51"/>
      <c r="L67" s="72">
        <f t="shared" ref="L67:L74" si="13">ROUND(IF(J67=0, IF(H67=0, 0, 1), H67/J67),5)</f>
        <v>1.31</v>
      </c>
      <c r="M67" s="51"/>
      <c r="N67" s="62">
        <v>813</v>
      </c>
      <c r="O67" s="51"/>
      <c r="P67" s="62">
        <v>900</v>
      </c>
      <c r="Q67" s="51"/>
      <c r="R67" s="72">
        <f t="shared" ref="R67:R74" si="14">ROUND(IF(P67=0, IF(N67=0, 0, 1), N67/P67),5)</f>
        <v>0.90332999999999997</v>
      </c>
      <c r="S67" s="51"/>
      <c r="T67" s="62">
        <v>6000</v>
      </c>
      <c r="V67" s="72">
        <f t="shared" si="2"/>
        <v>0.13550000000000001</v>
      </c>
    </row>
    <row r="68" spans="1:22" x14ac:dyDescent="0.2">
      <c r="A68" s="51"/>
      <c r="B68" s="51"/>
      <c r="C68" s="51"/>
      <c r="D68" s="51"/>
      <c r="E68" s="51" t="s">
        <v>115</v>
      </c>
      <c r="F68" s="51"/>
      <c r="G68" s="51"/>
      <c r="H68" s="62">
        <v>7976</v>
      </c>
      <c r="I68" s="51"/>
      <c r="J68" s="62">
        <v>4276</v>
      </c>
      <c r="K68" s="51"/>
      <c r="L68" s="72">
        <f t="shared" si="13"/>
        <v>1.8652899999999999</v>
      </c>
      <c r="M68" s="51"/>
      <c r="N68" s="62">
        <v>14188</v>
      </c>
      <c r="O68" s="51"/>
      <c r="P68" s="62">
        <v>11824</v>
      </c>
      <c r="Q68" s="51"/>
      <c r="R68" s="72">
        <f t="shared" si="14"/>
        <v>1.1999299999999999</v>
      </c>
      <c r="S68" s="51"/>
      <c r="T68" s="62">
        <v>75730</v>
      </c>
      <c r="V68" s="72">
        <f t="shared" si="2"/>
        <v>0.18734999999999999</v>
      </c>
    </row>
    <row r="69" spans="1:22" x14ac:dyDescent="0.2">
      <c r="A69" s="51"/>
      <c r="B69" s="51"/>
      <c r="C69" s="51"/>
      <c r="D69" s="51"/>
      <c r="E69" s="51" t="s">
        <v>116</v>
      </c>
      <c r="F69" s="51"/>
      <c r="G69" s="51"/>
      <c r="H69" s="62">
        <v>2724</v>
      </c>
      <c r="I69" s="51"/>
      <c r="J69" s="62">
        <v>1113</v>
      </c>
      <c r="K69" s="51"/>
      <c r="L69" s="72">
        <f t="shared" si="13"/>
        <v>2.4474399999999998</v>
      </c>
      <c r="M69" s="51"/>
      <c r="N69" s="62">
        <v>5710</v>
      </c>
      <c r="O69" s="51"/>
      <c r="P69" s="62">
        <v>3617</v>
      </c>
      <c r="Q69" s="51"/>
      <c r="R69" s="72">
        <f t="shared" si="14"/>
        <v>1.57866</v>
      </c>
      <c r="S69" s="51"/>
      <c r="T69" s="62">
        <v>22260</v>
      </c>
      <c r="V69" s="72">
        <f t="shared" si="2"/>
        <v>0.25651000000000002</v>
      </c>
    </row>
    <row r="70" spans="1:22" x14ac:dyDescent="0.2">
      <c r="A70" s="51"/>
      <c r="B70" s="51"/>
      <c r="C70" s="51"/>
      <c r="D70" s="51"/>
      <c r="E70" s="51" t="s">
        <v>117</v>
      </c>
      <c r="F70" s="51"/>
      <c r="G70" s="51"/>
      <c r="H70" s="62">
        <v>1360</v>
      </c>
      <c r="I70" s="51"/>
      <c r="J70" s="62">
        <v>560</v>
      </c>
      <c r="K70" s="51"/>
      <c r="L70" s="72">
        <f t="shared" si="13"/>
        <v>2.4285700000000001</v>
      </c>
      <c r="M70" s="51"/>
      <c r="N70" s="62">
        <v>2260</v>
      </c>
      <c r="O70" s="51"/>
      <c r="P70" s="62">
        <v>1820</v>
      </c>
      <c r="Q70" s="51"/>
      <c r="R70" s="72">
        <f t="shared" si="14"/>
        <v>1.24176</v>
      </c>
      <c r="S70" s="51"/>
      <c r="T70" s="62">
        <v>11200</v>
      </c>
      <c r="V70" s="72">
        <f t="shared" si="2"/>
        <v>0.20179</v>
      </c>
    </row>
    <row r="71" spans="1:22" x14ac:dyDescent="0.2">
      <c r="A71" s="51"/>
      <c r="B71" s="51"/>
      <c r="C71" s="51"/>
      <c r="D71" s="51"/>
      <c r="E71" s="51" t="s">
        <v>118</v>
      </c>
      <c r="F71" s="51"/>
      <c r="G71" s="51"/>
      <c r="H71" s="62">
        <v>3</v>
      </c>
      <c r="I71" s="51"/>
      <c r="J71" s="62">
        <v>-10</v>
      </c>
      <c r="K71" s="51"/>
      <c r="L71" s="72">
        <f t="shared" si="13"/>
        <v>-0.3</v>
      </c>
      <c r="M71" s="51"/>
      <c r="N71" s="62">
        <v>5</v>
      </c>
      <c r="O71" s="51"/>
      <c r="P71" s="62">
        <v>-25</v>
      </c>
      <c r="Q71" s="51"/>
      <c r="R71" s="72">
        <f t="shared" si="14"/>
        <v>-0.2</v>
      </c>
      <c r="S71" s="51"/>
      <c r="T71" s="62">
        <v>-600</v>
      </c>
      <c r="V71" s="72">
        <f t="shared" ref="V71:V134" si="15">ROUND(IF(T71=0, IF(N71=0, 0, 1), N71/T71),5)</f>
        <v>-8.3300000000000006E-3</v>
      </c>
    </row>
    <row r="72" spans="1:22" ht="16" thickBot="1" x14ac:dyDescent="0.25">
      <c r="A72" s="51"/>
      <c r="B72" s="51"/>
      <c r="C72" s="51"/>
      <c r="D72" s="51"/>
      <c r="E72" s="51" t="s">
        <v>119</v>
      </c>
      <c r="F72" s="51"/>
      <c r="G72" s="51"/>
      <c r="H72" s="64">
        <v>93</v>
      </c>
      <c r="I72" s="51"/>
      <c r="J72" s="64">
        <v>50</v>
      </c>
      <c r="K72" s="51"/>
      <c r="L72" s="83">
        <f t="shared" si="13"/>
        <v>1.86</v>
      </c>
      <c r="M72" s="51"/>
      <c r="N72" s="64">
        <v>210</v>
      </c>
      <c r="O72" s="51"/>
      <c r="P72" s="64">
        <v>200</v>
      </c>
      <c r="Q72" s="51"/>
      <c r="R72" s="83">
        <f t="shared" si="14"/>
        <v>1.05</v>
      </c>
      <c r="S72" s="51"/>
      <c r="T72" s="64">
        <v>1000</v>
      </c>
      <c r="V72" s="83">
        <f t="shared" si="15"/>
        <v>0.21</v>
      </c>
    </row>
    <row r="73" spans="1:22" ht="16" thickBot="1" x14ac:dyDescent="0.25">
      <c r="A73" s="51"/>
      <c r="B73" s="51"/>
      <c r="C73" s="51"/>
      <c r="D73" s="51" t="s">
        <v>120</v>
      </c>
      <c r="E73" s="51"/>
      <c r="F73" s="51"/>
      <c r="G73" s="51"/>
      <c r="H73" s="65">
        <f>ROUND(SUM(H66:H72),5)</f>
        <v>12549</v>
      </c>
      <c r="I73" s="51"/>
      <c r="J73" s="65">
        <f>ROUND(SUM(J66:J72),5)</f>
        <v>6289</v>
      </c>
      <c r="K73" s="51"/>
      <c r="L73" s="84">
        <f t="shared" si="13"/>
        <v>1.99539</v>
      </c>
      <c r="M73" s="51"/>
      <c r="N73" s="65">
        <f>ROUND(SUM(N66:N72),5)</f>
        <v>23186</v>
      </c>
      <c r="O73" s="51"/>
      <c r="P73" s="65">
        <f>ROUND(SUM(P66:P72),5)</f>
        <v>18336</v>
      </c>
      <c r="Q73" s="51"/>
      <c r="R73" s="84">
        <f t="shared" si="14"/>
        <v>1.26451</v>
      </c>
      <c r="S73" s="51"/>
      <c r="T73" s="65">
        <f>ROUND(SUM(T66:T72),5)</f>
        <v>115590</v>
      </c>
      <c r="V73" s="84">
        <f t="shared" si="15"/>
        <v>0.20058999999999999</v>
      </c>
    </row>
    <row r="74" spans="1:22" x14ac:dyDescent="0.2">
      <c r="A74" s="51"/>
      <c r="B74" s="51"/>
      <c r="C74" s="51" t="s">
        <v>121</v>
      </c>
      <c r="D74" s="51"/>
      <c r="E74" s="51"/>
      <c r="F74" s="51"/>
      <c r="G74" s="51"/>
      <c r="H74" s="62">
        <f>ROUND(H65-H73,5)</f>
        <v>84353</v>
      </c>
      <c r="I74" s="51"/>
      <c r="J74" s="62">
        <f>ROUND(J65-J73,5)</f>
        <v>80631</v>
      </c>
      <c r="K74" s="51"/>
      <c r="L74" s="72">
        <f t="shared" si="13"/>
        <v>1.04616</v>
      </c>
      <c r="M74" s="51"/>
      <c r="N74" s="62">
        <f>ROUND(N65-N73,5)</f>
        <v>373188</v>
      </c>
      <c r="O74" s="51"/>
      <c r="P74" s="62">
        <f>ROUND(P65-P73,5)</f>
        <v>397999</v>
      </c>
      <c r="Q74" s="51"/>
      <c r="R74" s="72">
        <f t="shared" si="14"/>
        <v>0.93766000000000005</v>
      </c>
      <c r="S74" s="51"/>
      <c r="T74" s="62">
        <f>ROUND(T65-T73,5)</f>
        <v>1154080</v>
      </c>
      <c r="V74" s="72">
        <f t="shared" si="15"/>
        <v>0.32335999999999998</v>
      </c>
    </row>
    <row r="75" spans="1:22" x14ac:dyDescent="0.2">
      <c r="A75" s="51"/>
      <c r="B75" s="51"/>
      <c r="C75" s="51"/>
      <c r="D75" s="51" t="s">
        <v>122</v>
      </c>
      <c r="E75" s="51"/>
      <c r="F75" s="51"/>
      <c r="G75" s="51"/>
      <c r="H75" s="62"/>
      <c r="I75" s="51"/>
      <c r="J75" s="62"/>
      <c r="K75" s="51"/>
      <c r="L75" s="72"/>
      <c r="M75" s="51"/>
      <c r="N75" s="62"/>
      <c r="O75" s="51"/>
      <c r="P75" s="62"/>
      <c r="Q75" s="51"/>
      <c r="R75" s="72"/>
      <c r="S75" s="51"/>
      <c r="T75" s="62"/>
      <c r="V75" s="72"/>
    </row>
    <row r="76" spans="1:22" x14ac:dyDescent="0.2">
      <c r="A76" s="51"/>
      <c r="B76" s="51"/>
      <c r="C76" s="51"/>
      <c r="D76" s="51"/>
      <c r="E76" s="51" t="s">
        <v>123</v>
      </c>
      <c r="F76" s="51"/>
      <c r="G76" s="51"/>
      <c r="H76" s="62"/>
      <c r="I76" s="51"/>
      <c r="J76" s="62"/>
      <c r="K76" s="51"/>
      <c r="L76" s="72"/>
      <c r="M76" s="51"/>
      <c r="N76" s="62"/>
      <c r="O76" s="51"/>
      <c r="P76" s="62"/>
      <c r="Q76" s="51"/>
      <c r="R76" s="72"/>
      <c r="S76" s="51"/>
      <c r="T76" s="62"/>
      <c r="V76" s="72"/>
    </row>
    <row r="77" spans="1:22" x14ac:dyDescent="0.2">
      <c r="A77" s="51"/>
      <c r="B77" s="51"/>
      <c r="C77" s="51"/>
      <c r="D77" s="51"/>
      <c r="E77" s="51"/>
      <c r="F77" s="51" t="s">
        <v>124</v>
      </c>
      <c r="G77" s="51"/>
      <c r="H77" s="62">
        <v>39959</v>
      </c>
      <c r="I77" s="51"/>
      <c r="J77" s="62">
        <v>45659</v>
      </c>
      <c r="K77" s="51"/>
      <c r="L77" s="72">
        <f>ROUND(IF(J77=0, IF(H77=0, 0, 1), H77/J77),5)</f>
        <v>0.87516000000000005</v>
      </c>
      <c r="M77" s="51"/>
      <c r="N77" s="62">
        <v>132157</v>
      </c>
      <c r="O77" s="51"/>
      <c r="P77" s="62">
        <v>143816</v>
      </c>
      <c r="Q77" s="51"/>
      <c r="R77" s="72">
        <f>ROUND(IF(P77=0, IF(N77=0, 0, 1), N77/P77),5)</f>
        <v>0.91893000000000002</v>
      </c>
      <c r="S77" s="51"/>
      <c r="T77" s="62">
        <v>593580</v>
      </c>
      <c r="V77" s="72">
        <f t="shared" si="15"/>
        <v>0.22264</v>
      </c>
    </row>
    <row r="78" spans="1:22" x14ac:dyDescent="0.2">
      <c r="A78" s="51"/>
      <c r="B78" s="51"/>
      <c r="C78" s="51"/>
      <c r="D78" s="51"/>
      <c r="E78" s="51"/>
      <c r="F78" s="51" t="s">
        <v>125</v>
      </c>
      <c r="G78" s="51"/>
      <c r="H78" s="62">
        <v>3533</v>
      </c>
      <c r="I78" s="51"/>
      <c r="J78" s="62">
        <v>3612</v>
      </c>
      <c r="K78" s="51"/>
      <c r="L78" s="72">
        <f>ROUND(IF(J78=0, IF(H78=0, 0, 1), H78/J78),5)</f>
        <v>0.97813000000000005</v>
      </c>
      <c r="M78" s="51"/>
      <c r="N78" s="62">
        <v>10660</v>
      </c>
      <c r="O78" s="51"/>
      <c r="P78" s="62">
        <v>11383</v>
      </c>
      <c r="Q78" s="51"/>
      <c r="R78" s="72">
        <f>ROUND(IF(P78=0, IF(N78=0, 0, 1), N78/P78),5)</f>
        <v>0.93647999999999998</v>
      </c>
      <c r="S78" s="51"/>
      <c r="T78" s="62">
        <v>46960</v>
      </c>
      <c r="V78" s="72">
        <f t="shared" si="15"/>
        <v>0.22700000000000001</v>
      </c>
    </row>
    <row r="79" spans="1:22" x14ac:dyDescent="0.2">
      <c r="A79" s="51"/>
      <c r="B79" s="51"/>
      <c r="C79" s="51"/>
      <c r="D79" s="51"/>
      <c r="E79" s="51"/>
      <c r="F79" s="51" t="s">
        <v>126</v>
      </c>
      <c r="G79" s="51"/>
      <c r="H79" s="62">
        <v>2841</v>
      </c>
      <c r="I79" s="51"/>
      <c r="J79" s="62">
        <v>3491</v>
      </c>
      <c r="K79" s="51"/>
      <c r="L79" s="72">
        <f>ROUND(IF(J79=0, IF(H79=0, 0, 1), H79/J79),5)</f>
        <v>0.81381000000000003</v>
      </c>
      <c r="M79" s="51"/>
      <c r="N79" s="62">
        <v>9466</v>
      </c>
      <c r="O79" s="51"/>
      <c r="P79" s="62">
        <v>11000</v>
      </c>
      <c r="Q79" s="51"/>
      <c r="R79" s="72">
        <f>ROUND(IF(P79=0, IF(N79=0, 0, 1), N79/P79),5)</f>
        <v>0.86055000000000004</v>
      </c>
      <c r="S79" s="51"/>
      <c r="T79" s="62">
        <v>45410</v>
      </c>
      <c r="V79" s="72">
        <f t="shared" si="15"/>
        <v>0.20846000000000001</v>
      </c>
    </row>
    <row r="80" spans="1:22" x14ac:dyDescent="0.2">
      <c r="A80" s="51"/>
      <c r="B80" s="51"/>
      <c r="C80" s="51"/>
      <c r="D80" s="51"/>
      <c r="E80" s="51"/>
      <c r="F80" s="51" t="s">
        <v>127</v>
      </c>
      <c r="G80" s="51"/>
      <c r="H80" s="62">
        <v>387</v>
      </c>
      <c r="I80" s="51"/>
      <c r="J80" s="62">
        <v>323</v>
      </c>
      <c r="K80" s="51"/>
      <c r="L80" s="72">
        <f>ROUND(IF(J80=0, IF(H80=0, 0, 1), H80/J80),5)</f>
        <v>1.19814</v>
      </c>
      <c r="M80" s="51"/>
      <c r="N80" s="62">
        <v>1029</v>
      </c>
      <c r="O80" s="51"/>
      <c r="P80" s="62">
        <v>1047</v>
      </c>
      <c r="Q80" s="51"/>
      <c r="R80" s="72">
        <f>ROUND(IF(P80=0, IF(N80=0, 0, 1), N80/P80),5)</f>
        <v>0.98280999999999996</v>
      </c>
      <c r="S80" s="51"/>
      <c r="T80" s="62">
        <v>4230</v>
      </c>
      <c r="V80" s="72">
        <f t="shared" si="15"/>
        <v>0.24326</v>
      </c>
    </row>
    <row r="81" spans="1:22" x14ac:dyDescent="0.2">
      <c r="A81" s="51"/>
      <c r="B81" s="51"/>
      <c r="C81" s="51"/>
      <c r="D81" s="51"/>
      <c r="E81" s="51"/>
      <c r="F81" s="51" t="s">
        <v>128</v>
      </c>
      <c r="G81" s="51"/>
      <c r="H81" s="62">
        <v>82</v>
      </c>
      <c r="I81" s="51"/>
      <c r="J81" s="62">
        <v>77</v>
      </c>
      <c r="K81" s="51"/>
      <c r="L81" s="72">
        <f>ROUND(IF(J81=0, IF(H81=0, 0, 1), H81/J81),5)</f>
        <v>1.06494</v>
      </c>
      <c r="M81" s="51"/>
      <c r="N81" s="62">
        <v>246</v>
      </c>
      <c r="O81" s="51"/>
      <c r="P81" s="62">
        <v>245</v>
      </c>
      <c r="Q81" s="51"/>
      <c r="R81" s="72">
        <f>ROUND(IF(P81=0, IF(N81=0, 0, 1), N81/P81),5)</f>
        <v>1.0040800000000001</v>
      </c>
      <c r="S81" s="51"/>
      <c r="T81" s="62">
        <v>990</v>
      </c>
      <c r="V81" s="72">
        <f t="shared" si="15"/>
        <v>0.24848000000000001</v>
      </c>
    </row>
    <row r="82" spans="1:22" ht="16" thickBot="1" x14ac:dyDescent="0.25">
      <c r="A82" s="51"/>
      <c r="B82" s="51"/>
      <c r="C82" s="51"/>
      <c r="D82" s="51"/>
      <c r="E82" s="51"/>
      <c r="F82" s="51" t="s">
        <v>129</v>
      </c>
      <c r="G82" s="51"/>
      <c r="H82" s="63">
        <v>0</v>
      </c>
      <c r="I82" s="51"/>
      <c r="J82" s="63"/>
      <c r="K82" s="51"/>
      <c r="L82" s="82"/>
      <c r="M82" s="51"/>
      <c r="N82" s="63">
        <v>0</v>
      </c>
      <c r="O82" s="51"/>
      <c r="P82" s="63"/>
      <c r="Q82" s="51"/>
      <c r="R82" s="82"/>
      <c r="S82" s="51"/>
      <c r="T82" s="63"/>
      <c r="V82" s="82">
        <f t="shared" si="15"/>
        <v>0</v>
      </c>
    </row>
    <row r="83" spans="1:22" x14ac:dyDescent="0.2">
      <c r="A83" s="51"/>
      <c r="B83" s="51"/>
      <c r="C83" s="51"/>
      <c r="D83" s="51"/>
      <c r="E83" s="51" t="s">
        <v>130</v>
      </c>
      <c r="F83" s="51"/>
      <c r="G83" s="51"/>
      <c r="H83" s="62">
        <f>ROUND(SUM(H76:H82),5)</f>
        <v>46802</v>
      </c>
      <c r="I83" s="51"/>
      <c r="J83" s="62">
        <f>ROUND(SUM(J76:J82),5)</f>
        <v>53162</v>
      </c>
      <c r="K83" s="51"/>
      <c r="L83" s="72">
        <f>ROUND(IF(J83=0, IF(H83=0, 0, 1), H83/J83),5)</f>
        <v>0.88036999999999999</v>
      </c>
      <c r="M83" s="51"/>
      <c r="N83" s="62">
        <f>ROUND(SUM(N76:N82),5)</f>
        <v>153558</v>
      </c>
      <c r="O83" s="51"/>
      <c r="P83" s="62">
        <f>ROUND(SUM(P76:P82),5)</f>
        <v>167491</v>
      </c>
      <c r="Q83" s="51"/>
      <c r="R83" s="72">
        <f>ROUND(IF(P83=0, IF(N83=0, 0, 1), N83/P83),5)</f>
        <v>0.91681000000000001</v>
      </c>
      <c r="S83" s="51"/>
      <c r="T83" s="62">
        <f>ROUND(SUM(T76:T82),5)</f>
        <v>691170</v>
      </c>
      <c r="V83" s="72">
        <f t="shared" si="15"/>
        <v>0.22217000000000001</v>
      </c>
    </row>
    <row r="84" spans="1:22" x14ac:dyDescent="0.2">
      <c r="A84" s="51"/>
      <c r="B84" s="51"/>
      <c r="C84" s="51"/>
      <c r="D84" s="51"/>
      <c r="E84" s="51" t="s">
        <v>131</v>
      </c>
      <c r="F84" s="51"/>
      <c r="G84" s="51"/>
      <c r="H84" s="62"/>
      <c r="I84" s="51"/>
      <c r="J84" s="62"/>
      <c r="K84" s="51"/>
      <c r="L84" s="72"/>
      <c r="M84" s="51"/>
      <c r="N84" s="62"/>
      <c r="O84" s="51"/>
      <c r="P84" s="62"/>
      <c r="Q84" s="51"/>
      <c r="R84" s="72"/>
      <c r="S84" s="51"/>
      <c r="T84" s="62"/>
      <c r="V84" s="72">
        <f t="shared" si="15"/>
        <v>0</v>
      </c>
    </row>
    <row r="85" spans="1:22" x14ac:dyDescent="0.2">
      <c r="A85" s="51"/>
      <c r="B85" s="51"/>
      <c r="C85" s="51"/>
      <c r="D85" s="51"/>
      <c r="E85" s="51"/>
      <c r="F85" s="51" t="s">
        <v>132</v>
      </c>
      <c r="G85" s="51"/>
      <c r="H85" s="62">
        <v>0</v>
      </c>
      <c r="I85" s="51"/>
      <c r="J85" s="62">
        <v>0</v>
      </c>
      <c r="K85" s="51"/>
      <c r="L85" s="72">
        <f t="shared" ref="L85:L92" si="16">ROUND(IF(J85=0, IF(H85=0, 0, 1), H85/J85),5)</f>
        <v>0</v>
      </c>
      <c r="M85" s="51"/>
      <c r="N85" s="62">
        <v>0</v>
      </c>
      <c r="O85" s="51"/>
      <c r="P85" s="62">
        <v>250</v>
      </c>
      <c r="Q85" s="51"/>
      <c r="R85" s="72">
        <f t="shared" ref="R85:R92" si="17">ROUND(IF(P85=0, IF(N85=0, 0, 1), N85/P85),5)</f>
        <v>0</v>
      </c>
      <c r="S85" s="51"/>
      <c r="T85" s="62">
        <v>12500</v>
      </c>
      <c r="V85" s="72">
        <f t="shared" si="15"/>
        <v>0</v>
      </c>
    </row>
    <row r="86" spans="1:22" x14ac:dyDescent="0.2">
      <c r="A86" s="51"/>
      <c r="B86" s="51"/>
      <c r="C86" s="51"/>
      <c r="D86" s="51"/>
      <c r="E86" s="51"/>
      <c r="F86" s="51" t="s">
        <v>133</v>
      </c>
      <c r="G86" s="51"/>
      <c r="H86" s="62">
        <v>0</v>
      </c>
      <c r="I86" s="51"/>
      <c r="J86" s="62">
        <v>500</v>
      </c>
      <c r="K86" s="51"/>
      <c r="L86" s="72">
        <f t="shared" si="16"/>
        <v>0</v>
      </c>
      <c r="M86" s="51"/>
      <c r="N86" s="62">
        <v>1050</v>
      </c>
      <c r="O86" s="51"/>
      <c r="P86" s="62">
        <v>2500</v>
      </c>
      <c r="Q86" s="51"/>
      <c r="R86" s="72">
        <f t="shared" si="17"/>
        <v>0.42</v>
      </c>
      <c r="S86" s="51"/>
      <c r="T86" s="62">
        <v>10000</v>
      </c>
      <c r="V86" s="72">
        <f t="shared" si="15"/>
        <v>0.105</v>
      </c>
    </row>
    <row r="87" spans="1:22" x14ac:dyDescent="0.2">
      <c r="A87" s="51"/>
      <c r="B87" s="51"/>
      <c r="C87" s="51"/>
      <c r="D87" s="51"/>
      <c r="E87" s="51"/>
      <c r="F87" s="51" t="s">
        <v>134</v>
      </c>
      <c r="G87" s="51"/>
      <c r="H87" s="62">
        <v>213</v>
      </c>
      <c r="I87" s="51"/>
      <c r="J87" s="62">
        <v>241</v>
      </c>
      <c r="K87" s="51"/>
      <c r="L87" s="72">
        <f t="shared" si="16"/>
        <v>0.88382000000000005</v>
      </c>
      <c r="M87" s="51"/>
      <c r="N87" s="62">
        <v>600</v>
      </c>
      <c r="O87" s="51"/>
      <c r="P87" s="62">
        <v>701</v>
      </c>
      <c r="Q87" s="51"/>
      <c r="R87" s="72">
        <f t="shared" si="17"/>
        <v>0.85592000000000001</v>
      </c>
      <c r="S87" s="51"/>
      <c r="T87" s="62">
        <v>2980</v>
      </c>
      <c r="V87" s="72">
        <f t="shared" si="15"/>
        <v>0.20133999999999999</v>
      </c>
    </row>
    <row r="88" spans="1:22" x14ac:dyDescent="0.2">
      <c r="A88" s="51"/>
      <c r="B88" s="51"/>
      <c r="C88" s="51"/>
      <c r="D88" s="51"/>
      <c r="E88" s="51"/>
      <c r="F88" s="51" t="s">
        <v>135</v>
      </c>
      <c r="G88" s="51"/>
      <c r="H88" s="62">
        <v>548</v>
      </c>
      <c r="I88" s="51"/>
      <c r="J88" s="62">
        <v>300</v>
      </c>
      <c r="K88" s="51"/>
      <c r="L88" s="72">
        <f t="shared" si="16"/>
        <v>1.82667</v>
      </c>
      <c r="M88" s="51"/>
      <c r="N88" s="62">
        <v>1129</v>
      </c>
      <c r="O88" s="51"/>
      <c r="P88" s="62">
        <v>1039</v>
      </c>
      <c r="Q88" s="51"/>
      <c r="R88" s="72">
        <f t="shared" si="17"/>
        <v>1.0866199999999999</v>
      </c>
      <c r="S88" s="51"/>
      <c r="T88" s="62">
        <v>4650</v>
      </c>
      <c r="V88" s="72">
        <f t="shared" si="15"/>
        <v>0.24279999999999999</v>
      </c>
    </row>
    <row r="89" spans="1:22" x14ac:dyDescent="0.2">
      <c r="A89" s="51"/>
      <c r="B89" s="51"/>
      <c r="C89" s="51"/>
      <c r="D89" s="51"/>
      <c r="E89" s="51"/>
      <c r="F89" s="51" t="s">
        <v>136</v>
      </c>
      <c r="G89" s="51"/>
      <c r="H89" s="62">
        <v>280</v>
      </c>
      <c r="I89" s="51"/>
      <c r="J89" s="62">
        <v>0</v>
      </c>
      <c r="K89" s="51"/>
      <c r="L89" s="72">
        <f t="shared" si="16"/>
        <v>1</v>
      </c>
      <c r="M89" s="51"/>
      <c r="N89" s="62">
        <v>2405</v>
      </c>
      <c r="O89" s="51"/>
      <c r="P89" s="62">
        <v>2175</v>
      </c>
      <c r="Q89" s="51"/>
      <c r="R89" s="72">
        <f t="shared" si="17"/>
        <v>1.10575</v>
      </c>
      <c r="S89" s="51"/>
      <c r="T89" s="62">
        <v>16630</v>
      </c>
      <c r="V89" s="72">
        <f t="shared" si="15"/>
        <v>0.14462</v>
      </c>
    </row>
    <row r="90" spans="1:22" x14ac:dyDescent="0.2">
      <c r="A90" s="51"/>
      <c r="B90" s="51"/>
      <c r="C90" s="51"/>
      <c r="D90" s="51"/>
      <c r="E90" s="51"/>
      <c r="F90" s="51" t="s">
        <v>137</v>
      </c>
      <c r="G90" s="51"/>
      <c r="H90" s="62">
        <v>0</v>
      </c>
      <c r="I90" s="51"/>
      <c r="J90" s="62">
        <v>0</v>
      </c>
      <c r="K90" s="51"/>
      <c r="L90" s="72">
        <f t="shared" si="16"/>
        <v>0</v>
      </c>
      <c r="M90" s="51"/>
      <c r="N90" s="62">
        <v>0</v>
      </c>
      <c r="O90" s="51"/>
      <c r="P90" s="62">
        <v>0</v>
      </c>
      <c r="Q90" s="51"/>
      <c r="R90" s="72">
        <f t="shared" si="17"/>
        <v>0</v>
      </c>
      <c r="S90" s="51"/>
      <c r="T90" s="62">
        <v>25000</v>
      </c>
      <c r="V90" s="72">
        <f t="shared" si="15"/>
        <v>0</v>
      </c>
    </row>
    <row r="91" spans="1:22" ht="16" thickBot="1" x14ac:dyDescent="0.25">
      <c r="A91" s="51"/>
      <c r="B91" s="51"/>
      <c r="C91" s="51"/>
      <c r="D91" s="51"/>
      <c r="E91" s="51"/>
      <c r="F91" s="51" t="s">
        <v>138</v>
      </c>
      <c r="G91" s="51"/>
      <c r="H91" s="63">
        <v>23</v>
      </c>
      <c r="I91" s="51"/>
      <c r="J91" s="63">
        <v>0</v>
      </c>
      <c r="K91" s="51"/>
      <c r="L91" s="82">
        <f t="shared" si="16"/>
        <v>1</v>
      </c>
      <c r="M91" s="51"/>
      <c r="N91" s="63">
        <v>5318</v>
      </c>
      <c r="O91" s="51"/>
      <c r="P91" s="63">
        <v>1550</v>
      </c>
      <c r="Q91" s="51"/>
      <c r="R91" s="82">
        <f t="shared" si="17"/>
        <v>3.4309699999999999</v>
      </c>
      <c r="S91" s="51"/>
      <c r="T91" s="63">
        <v>7240</v>
      </c>
      <c r="V91" s="82">
        <f t="shared" si="15"/>
        <v>0.73453000000000002</v>
      </c>
    </row>
    <row r="92" spans="1:22" x14ac:dyDescent="0.2">
      <c r="A92" s="51"/>
      <c r="B92" s="51"/>
      <c r="C92" s="51"/>
      <c r="D92" s="51"/>
      <c r="E92" s="51" t="s">
        <v>139</v>
      </c>
      <c r="F92" s="51"/>
      <c r="G92" s="51"/>
      <c r="H92" s="62">
        <f>ROUND(SUM(H84:H91),5)</f>
        <v>1064</v>
      </c>
      <c r="I92" s="51"/>
      <c r="J92" s="62">
        <f>ROUND(SUM(J84:J91),5)</f>
        <v>1041</v>
      </c>
      <c r="K92" s="51"/>
      <c r="L92" s="72">
        <f t="shared" si="16"/>
        <v>1.0220899999999999</v>
      </c>
      <c r="M92" s="51"/>
      <c r="N92" s="62">
        <f>ROUND(SUM(N84:N91),5)</f>
        <v>10502</v>
      </c>
      <c r="O92" s="51"/>
      <c r="P92" s="62">
        <f>ROUND(SUM(P84:P91),5)</f>
        <v>8215</v>
      </c>
      <c r="Q92" s="51"/>
      <c r="R92" s="72">
        <f t="shared" si="17"/>
        <v>1.2783899999999999</v>
      </c>
      <c r="S92" s="51"/>
      <c r="T92" s="62">
        <f>ROUND(SUM(T84:T91),5)</f>
        <v>79000</v>
      </c>
      <c r="V92" s="72">
        <f t="shared" si="15"/>
        <v>0.13294</v>
      </c>
    </row>
    <row r="93" spans="1:22" x14ac:dyDescent="0.2">
      <c r="A93" s="51"/>
      <c r="B93" s="51"/>
      <c r="C93" s="51"/>
      <c r="D93" s="51"/>
      <c r="E93" s="51" t="s">
        <v>140</v>
      </c>
      <c r="F93" s="51"/>
      <c r="G93" s="51"/>
      <c r="H93" s="62"/>
      <c r="I93" s="51"/>
      <c r="J93" s="62"/>
      <c r="K93" s="51"/>
      <c r="L93" s="72"/>
      <c r="M93" s="51"/>
      <c r="N93" s="62"/>
      <c r="O93" s="51"/>
      <c r="P93" s="62"/>
      <c r="Q93" s="51"/>
      <c r="R93" s="72"/>
      <c r="S93" s="51"/>
      <c r="T93" s="62"/>
      <c r="V93" s="72"/>
    </row>
    <row r="94" spans="1:22" x14ac:dyDescent="0.2">
      <c r="A94" s="51"/>
      <c r="B94" s="51"/>
      <c r="C94" s="51"/>
      <c r="D94" s="51"/>
      <c r="E94" s="51"/>
      <c r="F94" s="51" t="s">
        <v>141</v>
      </c>
      <c r="G94" s="51"/>
      <c r="H94" s="62">
        <v>688</v>
      </c>
      <c r="I94" s="51"/>
      <c r="J94" s="62">
        <v>2066</v>
      </c>
      <c r="K94" s="51"/>
      <c r="L94" s="72">
        <f t="shared" ref="L94:L100" si="18">ROUND(IF(J94=0, IF(H94=0, 0, 1), H94/J94),5)</f>
        <v>0.33300999999999997</v>
      </c>
      <c r="M94" s="51"/>
      <c r="N94" s="62">
        <v>3082</v>
      </c>
      <c r="O94" s="51"/>
      <c r="P94" s="62">
        <v>4489</v>
      </c>
      <c r="Q94" s="51"/>
      <c r="R94" s="72">
        <f t="shared" ref="R94:R100" si="19">ROUND(IF(P94=0, IF(N94=0, 0, 1), N94/P94),5)</f>
        <v>0.68657000000000001</v>
      </c>
      <c r="S94" s="51"/>
      <c r="T94" s="62">
        <v>21660</v>
      </c>
      <c r="V94" s="72">
        <f t="shared" si="15"/>
        <v>0.14229</v>
      </c>
    </row>
    <row r="95" spans="1:22" x14ac:dyDescent="0.2">
      <c r="A95" s="51"/>
      <c r="B95" s="51"/>
      <c r="C95" s="51"/>
      <c r="D95" s="51"/>
      <c r="E95" s="51"/>
      <c r="F95" s="51" t="s">
        <v>142</v>
      </c>
      <c r="G95" s="51"/>
      <c r="H95" s="62">
        <v>0</v>
      </c>
      <c r="I95" s="51"/>
      <c r="J95" s="62">
        <v>14</v>
      </c>
      <c r="K95" s="51"/>
      <c r="L95" s="72">
        <f t="shared" si="18"/>
        <v>0</v>
      </c>
      <c r="M95" s="51"/>
      <c r="N95" s="62">
        <v>-18</v>
      </c>
      <c r="O95" s="51"/>
      <c r="P95" s="62">
        <v>725</v>
      </c>
      <c r="Q95" s="51"/>
      <c r="R95" s="72">
        <f t="shared" si="19"/>
        <v>-2.4830000000000001E-2</v>
      </c>
      <c r="S95" s="51"/>
      <c r="T95" s="62">
        <v>6670</v>
      </c>
      <c r="V95" s="72">
        <f t="shared" si="15"/>
        <v>-2.7000000000000001E-3</v>
      </c>
    </row>
    <row r="96" spans="1:22" x14ac:dyDescent="0.2">
      <c r="A96" s="51"/>
      <c r="B96" s="51"/>
      <c r="C96" s="51"/>
      <c r="D96" s="51"/>
      <c r="E96" s="51"/>
      <c r="F96" s="51" t="s">
        <v>143</v>
      </c>
      <c r="G96" s="51"/>
      <c r="H96" s="62">
        <v>0</v>
      </c>
      <c r="I96" s="51"/>
      <c r="J96" s="62">
        <v>0</v>
      </c>
      <c r="K96" s="51"/>
      <c r="L96" s="72">
        <f t="shared" si="18"/>
        <v>0</v>
      </c>
      <c r="M96" s="51"/>
      <c r="N96" s="62">
        <v>0</v>
      </c>
      <c r="O96" s="51"/>
      <c r="P96" s="62">
        <v>0</v>
      </c>
      <c r="Q96" s="51"/>
      <c r="R96" s="72">
        <f t="shared" si="19"/>
        <v>0</v>
      </c>
      <c r="S96" s="51"/>
      <c r="T96" s="62">
        <v>3000</v>
      </c>
      <c r="V96" s="72">
        <f t="shared" si="15"/>
        <v>0</v>
      </c>
    </row>
    <row r="97" spans="1:22" x14ac:dyDescent="0.2">
      <c r="A97" s="51"/>
      <c r="B97" s="51"/>
      <c r="C97" s="51"/>
      <c r="D97" s="51"/>
      <c r="E97" s="51"/>
      <c r="F97" s="51" t="s">
        <v>144</v>
      </c>
      <c r="G97" s="51"/>
      <c r="H97" s="62">
        <v>1500</v>
      </c>
      <c r="I97" s="51"/>
      <c r="J97" s="62">
        <v>0</v>
      </c>
      <c r="K97" s="51"/>
      <c r="L97" s="72">
        <f t="shared" si="18"/>
        <v>1</v>
      </c>
      <c r="M97" s="51"/>
      <c r="N97" s="62">
        <v>1500</v>
      </c>
      <c r="O97" s="51"/>
      <c r="P97" s="62">
        <v>0</v>
      </c>
      <c r="Q97" s="51"/>
      <c r="R97" s="72">
        <f t="shared" si="19"/>
        <v>1</v>
      </c>
      <c r="S97" s="51"/>
      <c r="T97" s="62">
        <v>68000</v>
      </c>
      <c r="V97" s="72">
        <f t="shared" si="15"/>
        <v>2.206E-2</v>
      </c>
    </row>
    <row r="98" spans="1:22" x14ac:dyDescent="0.2">
      <c r="A98" s="51"/>
      <c r="B98" s="51"/>
      <c r="C98" s="51"/>
      <c r="D98" s="51"/>
      <c r="E98" s="51"/>
      <c r="F98" s="51" t="s">
        <v>145</v>
      </c>
      <c r="G98" s="51"/>
      <c r="H98" s="62">
        <v>10050</v>
      </c>
      <c r="I98" s="51"/>
      <c r="J98" s="62">
        <v>10045</v>
      </c>
      <c r="K98" s="51"/>
      <c r="L98" s="72">
        <f t="shared" si="18"/>
        <v>1.0004999999999999</v>
      </c>
      <c r="M98" s="51"/>
      <c r="N98" s="62">
        <v>20385</v>
      </c>
      <c r="O98" s="51"/>
      <c r="P98" s="62">
        <v>18573</v>
      </c>
      <c r="Q98" s="51"/>
      <c r="R98" s="72">
        <f t="shared" si="19"/>
        <v>1.0975600000000001</v>
      </c>
      <c r="S98" s="51"/>
      <c r="T98" s="62">
        <v>79890</v>
      </c>
      <c r="V98" s="72">
        <f t="shared" si="15"/>
        <v>0.25516</v>
      </c>
    </row>
    <row r="99" spans="1:22" ht="16" thickBot="1" x14ac:dyDescent="0.25">
      <c r="A99" s="51"/>
      <c r="B99" s="51"/>
      <c r="C99" s="51"/>
      <c r="D99" s="51"/>
      <c r="E99" s="51"/>
      <c r="F99" s="51" t="s">
        <v>146</v>
      </c>
      <c r="G99" s="51"/>
      <c r="H99" s="63">
        <v>2250</v>
      </c>
      <c r="I99" s="51"/>
      <c r="J99" s="63">
        <v>0</v>
      </c>
      <c r="K99" s="51"/>
      <c r="L99" s="82">
        <f t="shared" si="18"/>
        <v>1</v>
      </c>
      <c r="M99" s="51"/>
      <c r="N99" s="63">
        <v>2250</v>
      </c>
      <c r="O99" s="51"/>
      <c r="P99" s="63">
        <v>0</v>
      </c>
      <c r="Q99" s="51"/>
      <c r="R99" s="82">
        <f t="shared" si="19"/>
        <v>1</v>
      </c>
      <c r="S99" s="51"/>
      <c r="T99" s="63">
        <v>5850</v>
      </c>
      <c r="V99" s="82">
        <f t="shared" si="15"/>
        <v>0.38462000000000002</v>
      </c>
    </row>
    <row r="100" spans="1:22" x14ac:dyDescent="0.2">
      <c r="A100" s="51"/>
      <c r="B100" s="51"/>
      <c r="C100" s="51"/>
      <c r="D100" s="51"/>
      <c r="E100" s="51" t="s">
        <v>147</v>
      </c>
      <c r="F100" s="51"/>
      <c r="G100" s="51"/>
      <c r="H100" s="62">
        <f>ROUND(SUM(H93:H99),5)</f>
        <v>14488</v>
      </c>
      <c r="I100" s="51"/>
      <c r="J100" s="62">
        <f>ROUND(SUM(J93:J99),5)</f>
        <v>12125</v>
      </c>
      <c r="K100" s="51"/>
      <c r="L100" s="72">
        <f t="shared" si="18"/>
        <v>1.19489</v>
      </c>
      <c r="M100" s="51"/>
      <c r="N100" s="62">
        <f>ROUND(SUM(N93:N99),5)</f>
        <v>27199</v>
      </c>
      <c r="O100" s="51"/>
      <c r="P100" s="62">
        <f>ROUND(SUM(P93:P99),5)</f>
        <v>23787</v>
      </c>
      <c r="Q100" s="51"/>
      <c r="R100" s="72">
        <f t="shared" si="19"/>
        <v>1.14344</v>
      </c>
      <c r="S100" s="51"/>
      <c r="T100" s="62">
        <f>ROUND(SUM(T93:T99),5)</f>
        <v>185070</v>
      </c>
      <c r="V100" s="72">
        <f t="shared" si="15"/>
        <v>0.14696999999999999</v>
      </c>
    </row>
    <row r="101" spans="1:22" x14ac:dyDescent="0.2">
      <c r="A101" s="51"/>
      <c r="B101" s="51"/>
      <c r="C101" s="51"/>
      <c r="D101" s="51"/>
      <c r="E101" s="51" t="s">
        <v>148</v>
      </c>
      <c r="F101" s="51"/>
      <c r="G101" s="51"/>
      <c r="H101" s="62"/>
      <c r="I101" s="51"/>
      <c r="J101" s="62"/>
      <c r="K101" s="51"/>
      <c r="L101" s="72"/>
      <c r="M101" s="51"/>
      <c r="N101" s="62"/>
      <c r="O101" s="51"/>
      <c r="P101" s="62"/>
      <c r="Q101" s="51"/>
      <c r="R101" s="72"/>
      <c r="S101" s="51"/>
      <c r="T101" s="62"/>
      <c r="V101" s="72"/>
    </row>
    <row r="102" spans="1:22" x14ac:dyDescent="0.2">
      <c r="A102" s="51"/>
      <c r="B102" s="51"/>
      <c r="C102" s="51"/>
      <c r="D102" s="51"/>
      <c r="E102" s="51"/>
      <c r="F102" s="51" t="s">
        <v>149</v>
      </c>
      <c r="G102" s="51"/>
      <c r="H102" s="62">
        <v>1434</v>
      </c>
      <c r="I102" s="51"/>
      <c r="J102" s="62">
        <v>1468</v>
      </c>
      <c r="K102" s="51"/>
      <c r="L102" s="72">
        <f t="shared" ref="L102:L111" si="20">ROUND(IF(J102=0, IF(H102=0, 0, 1), H102/J102),5)</f>
        <v>0.97684000000000004</v>
      </c>
      <c r="M102" s="51"/>
      <c r="N102" s="62">
        <v>3459</v>
      </c>
      <c r="O102" s="51"/>
      <c r="P102" s="62">
        <v>4420</v>
      </c>
      <c r="Q102" s="51"/>
      <c r="R102" s="72">
        <f t="shared" ref="R102:R111" si="21">ROUND(IF(P102=0, IF(N102=0, 0, 1), N102/P102),5)</f>
        <v>0.78258000000000005</v>
      </c>
      <c r="S102" s="51"/>
      <c r="T102" s="62">
        <v>20710</v>
      </c>
      <c r="V102" s="72">
        <f t="shared" si="15"/>
        <v>0.16702</v>
      </c>
    </row>
    <row r="103" spans="1:22" x14ac:dyDescent="0.2">
      <c r="A103" s="51"/>
      <c r="B103" s="51"/>
      <c r="C103" s="51"/>
      <c r="D103" s="51"/>
      <c r="E103" s="51"/>
      <c r="F103" s="51" t="s">
        <v>150</v>
      </c>
      <c r="G103" s="51"/>
      <c r="H103" s="62">
        <v>322</v>
      </c>
      <c r="I103" s="51"/>
      <c r="J103" s="62">
        <v>340</v>
      </c>
      <c r="K103" s="51"/>
      <c r="L103" s="72">
        <f t="shared" si="20"/>
        <v>0.94706000000000001</v>
      </c>
      <c r="M103" s="51"/>
      <c r="N103" s="62">
        <v>952</v>
      </c>
      <c r="O103" s="51"/>
      <c r="P103" s="62">
        <v>1020</v>
      </c>
      <c r="Q103" s="51"/>
      <c r="R103" s="72">
        <f t="shared" si="21"/>
        <v>0.93332999999999999</v>
      </c>
      <c r="S103" s="51"/>
      <c r="T103" s="62">
        <v>4080</v>
      </c>
      <c r="V103" s="72">
        <f t="shared" si="15"/>
        <v>0.23333000000000001</v>
      </c>
    </row>
    <row r="104" spans="1:22" x14ac:dyDescent="0.2">
      <c r="A104" s="51"/>
      <c r="B104" s="51"/>
      <c r="C104" s="51"/>
      <c r="D104" s="51"/>
      <c r="E104" s="51"/>
      <c r="F104" s="51" t="s">
        <v>151</v>
      </c>
      <c r="G104" s="51"/>
      <c r="H104" s="62">
        <v>2348</v>
      </c>
      <c r="I104" s="51"/>
      <c r="J104" s="62">
        <v>1779</v>
      </c>
      <c r="K104" s="51"/>
      <c r="L104" s="72">
        <f t="shared" si="20"/>
        <v>1.3198399999999999</v>
      </c>
      <c r="M104" s="51"/>
      <c r="N104" s="62">
        <v>6191</v>
      </c>
      <c r="O104" s="51"/>
      <c r="P104" s="62">
        <v>6019</v>
      </c>
      <c r="Q104" s="51"/>
      <c r="R104" s="72">
        <f t="shared" si="21"/>
        <v>1.02858</v>
      </c>
      <c r="S104" s="51"/>
      <c r="T104" s="62">
        <v>30160</v>
      </c>
      <c r="V104" s="72">
        <f t="shared" si="15"/>
        <v>0.20527000000000001</v>
      </c>
    </row>
    <row r="105" spans="1:22" x14ac:dyDescent="0.2">
      <c r="A105" s="51"/>
      <c r="B105" s="51"/>
      <c r="C105" s="51"/>
      <c r="D105" s="51"/>
      <c r="E105" s="51"/>
      <c r="F105" s="51" t="s">
        <v>152</v>
      </c>
      <c r="G105" s="51"/>
      <c r="H105" s="62">
        <v>1485</v>
      </c>
      <c r="I105" s="51"/>
      <c r="J105" s="62">
        <v>3941</v>
      </c>
      <c r="K105" s="51"/>
      <c r="L105" s="72">
        <f t="shared" si="20"/>
        <v>0.37680999999999998</v>
      </c>
      <c r="M105" s="51"/>
      <c r="N105" s="62">
        <v>4401</v>
      </c>
      <c r="O105" s="51"/>
      <c r="P105" s="62">
        <v>6724</v>
      </c>
      <c r="Q105" s="51"/>
      <c r="R105" s="72">
        <f t="shared" si="21"/>
        <v>0.65451999999999999</v>
      </c>
      <c r="S105" s="51"/>
      <c r="T105" s="62">
        <v>21050</v>
      </c>
      <c r="V105" s="72">
        <f t="shared" si="15"/>
        <v>0.20907000000000001</v>
      </c>
    </row>
    <row r="106" spans="1:22" x14ac:dyDescent="0.2">
      <c r="A106" s="51"/>
      <c r="B106" s="51"/>
      <c r="C106" s="51"/>
      <c r="D106" s="51"/>
      <c r="E106" s="51"/>
      <c r="F106" s="51" t="s">
        <v>153</v>
      </c>
      <c r="G106" s="51"/>
      <c r="H106" s="62">
        <v>140</v>
      </c>
      <c r="I106" s="51"/>
      <c r="J106" s="62">
        <v>162</v>
      </c>
      <c r="K106" s="51"/>
      <c r="L106" s="72">
        <f t="shared" si="20"/>
        <v>0.86419999999999997</v>
      </c>
      <c r="M106" s="51"/>
      <c r="N106" s="62">
        <v>421</v>
      </c>
      <c r="O106" s="51"/>
      <c r="P106" s="62">
        <v>438</v>
      </c>
      <c r="Q106" s="51"/>
      <c r="R106" s="72">
        <f t="shared" si="21"/>
        <v>0.96118999999999999</v>
      </c>
      <c r="S106" s="51"/>
      <c r="T106" s="62">
        <v>1800</v>
      </c>
      <c r="V106" s="72">
        <f t="shared" si="15"/>
        <v>0.23388999999999999</v>
      </c>
    </row>
    <row r="107" spans="1:22" x14ac:dyDescent="0.2">
      <c r="A107" s="51"/>
      <c r="B107" s="51"/>
      <c r="C107" s="51"/>
      <c r="D107" s="51"/>
      <c r="E107" s="51"/>
      <c r="F107" s="51" t="s">
        <v>154</v>
      </c>
      <c r="G107" s="51"/>
      <c r="H107" s="62">
        <v>0</v>
      </c>
      <c r="I107" s="51"/>
      <c r="J107" s="62">
        <v>44</v>
      </c>
      <c r="K107" s="51"/>
      <c r="L107" s="72">
        <f t="shared" si="20"/>
        <v>0</v>
      </c>
      <c r="M107" s="51"/>
      <c r="N107" s="62">
        <v>282</v>
      </c>
      <c r="O107" s="51"/>
      <c r="P107" s="62">
        <v>308</v>
      </c>
      <c r="Q107" s="51"/>
      <c r="R107" s="72">
        <f t="shared" si="21"/>
        <v>0.91557999999999995</v>
      </c>
      <c r="S107" s="51"/>
      <c r="T107" s="62">
        <v>620</v>
      </c>
      <c r="V107" s="72">
        <f t="shared" si="15"/>
        <v>0.45484000000000002</v>
      </c>
    </row>
    <row r="108" spans="1:22" x14ac:dyDescent="0.2">
      <c r="A108" s="51"/>
      <c r="B108" s="51"/>
      <c r="C108" s="51"/>
      <c r="D108" s="51"/>
      <c r="E108" s="51"/>
      <c r="F108" s="51" t="s">
        <v>155</v>
      </c>
      <c r="G108" s="51"/>
      <c r="H108" s="62">
        <v>3960</v>
      </c>
      <c r="I108" s="51"/>
      <c r="J108" s="62">
        <v>3960</v>
      </c>
      <c r="K108" s="51"/>
      <c r="L108" s="72">
        <f t="shared" si="20"/>
        <v>1</v>
      </c>
      <c r="M108" s="51"/>
      <c r="N108" s="62">
        <v>11881</v>
      </c>
      <c r="O108" s="51"/>
      <c r="P108" s="62">
        <v>11880</v>
      </c>
      <c r="Q108" s="51"/>
      <c r="R108" s="72">
        <f t="shared" si="21"/>
        <v>1.0000800000000001</v>
      </c>
      <c r="S108" s="51"/>
      <c r="T108" s="62">
        <v>47470</v>
      </c>
      <c r="V108" s="72">
        <f t="shared" si="15"/>
        <v>0.25028</v>
      </c>
    </row>
    <row r="109" spans="1:22" x14ac:dyDescent="0.2">
      <c r="A109" s="51"/>
      <c r="B109" s="51"/>
      <c r="C109" s="51"/>
      <c r="D109" s="51"/>
      <c r="E109" s="51"/>
      <c r="F109" s="51" t="s">
        <v>156</v>
      </c>
      <c r="G109" s="51"/>
      <c r="H109" s="62">
        <v>0</v>
      </c>
      <c r="I109" s="51"/>
      <c r="J109" s="62">
        <v>10</v>
      </c>
      <c r="K109" s="51"/>
      <c r="L109" s="72">
        <f t="shared" si="20"/>
        <v>0</v>
      </c>
      <c r="M109" s="51"/>
      <c r="N109" s="62">
        <v>17</v>
      </c>
      <c r="O109" s="51"/>
      <c r="P109" s="62">
        <v>121</v>
      </c>
      <c r="Q109" s="51"/>
      <c r="R109" s="72">
        <f t="shared" si="21"/>
        <v>0.14050000000000001</v>
      </c>
      <c r="S109" s="51"/>
      <c r="T109" s="62">
        <v>450</v>
      </c>
      <c r="V109" s="72">
        <f t="shared" si="15"/>
        <v>3.7780000000000001E-2</v>
      </c>
    </row>
    <row r="110" spans="1:22" ht="16" thickBot="1" x14ac:dyDescent="0.25">
      <c r="A110" s="51"/>
      <c r="B110" s="51"/>
      <c r="C110" s="51"/>
      <c r="D110" s="51"/>
      <c r="E110" s="51"/>
      <c r="F110" s="51" t="s">
        <v>157</v>
      </c>
      <c r="G110" s="51"/>
      <c r="H110" s="63">
        <v>342</v>
      </c>
      <c r="I110" s="51"/>
      <c r="J110" s="63">
        <v>250</v>
      </c>
      <c r="K110" s="51"/>
      <c r="L110" s="82">
        <f t="shared" si="20"/>
        <v>1.3680000000000001</v>
      </c>
      <c r="M110" s="51"/>
      <c r="N110" s="63">
        <v>342</v>
      </c>
      <c r="O110" s="51"/>
      <c r="P110" s="63">
        <v>500</v>
      </c>
      <c r="Q110" s="51"/>
      <c r="R110" s="82">
        <f t="shared" si="21"/>
        <v>0.68400000000000005</v>
      </c>
      <c r="S110" s="51"/>
      <c r="T110" s="63">
        <v>1000</v>
      </c>
      <c r="V110" s="82">
        <f t="shared" si="15"/>
        <v>0.34200000000000003</v>
      </c>
    </row>
    <row r="111" spans="1:22" x14ac:dyDescent="0.2">
      <c r="A111" s="51"/>
      <c r="B111" s="51"/>
      <c r="C111" s="51"/>
      <c r="D111" s="51"/>
      <c r="E111" s="51" t="s">
        <v>158</v>
      </c>
      <c r="F111" s="51"/>
      <c r="G111" s="51"/>
      <c r="H111" s="62">
        <f>ROUND(SUM(H101:H110),5)</f>
        <v>10031</v>
      </c>
      <c r="I111" s="51"/>
      <c r="J111" s="62">
        <f>ROUND(SUM(J101:J110),5)</f>
        <v>11954</v>
      </c>
      <c r="K111" s="51"/>
      <c r="L111" s="72">
        <f t="shared" si="20"/>
        <v>0.83913000000000004</v>
      </c>
      <c r="M111" s="51"/>
      <c r="N111" s="62">
        <f>ROUND(SUM(N101:N110),5)</f>
        <v>27946</v>
      </c>
      <c r="O111" s="51"/>
      <c r="P111" s="62">
        <f>ROUND(SUM(P101:P110),5)</f>
        <v>31430</v>
      </c>
      <c r="Q111" s="51"/>
      <c r="R111" s="72">
        <f t="shared" si="21"/>
        <v>0.88915</v>
      </c>
      <c r="S111" s="51"/>
      <c r="T111" s="62">
        <f>ROUND(SUM(T101:T110),5)</f>
        <v>127340</v>
      </c>
      <c r="V111" s="72">
        <f t="shared" si="15"/>
        <v>0.21945999999999999</v>
      </c>
    </row>
    <row r="112" spans="1:22" x14ac:dyDescent="0.2">
      <c r="A112" s="51"/>
      <c r="B112" s="51"/>
      <c r="C112" s="51"/>
      <c r="D112" s="51"/>
      <c r="E112" s="51" t="s">
        <v>159</v>
      </c>
      <c r="F112" s="51"/>
      <c r="G112" s="51"/>
      <c r="H112" s="62"/>
      <c r="I112" s="51"/>
      <c r="J112" s="62"/>
      <c r="K112" s="51"/>
      <c r="L112" s="72"/>
      <c r="M112" s="51"/>
      <c r="N112" s="62"/>
      <c r="O112" s="51"/>
      <c r="P112" s="62"/>
      <c r="Q112" s="51"/>
      <c r="R112" s="72"/>
      <c r="S112" s="51"/>
      <c r="T112" s="62"/>
      <c r="V112" s="72"/>
    </row>
    <row r="113" spans="1:22" x14ac:dyDescent="0.2">
      <c r="A113" s="51"/>
      <c r="B113" s="51"/>
      <c r="C113" s="51"/>
      <c r="D113" s="51"/>
      <c r="E113" s="51"/>
      <c r="F113" s="51" t="s">
        <v>160</v>
      </c>
      <c r="G113" s="51"/>
      <c r="H113" s="62">
        <v>209</v>
      </c>
      <c r="I113" s="51"/>
      <c r="J113" s="62">
        <v>226</v>
      </c>
      <c r="K113" s="51"/>
      <c r="L113" s="72">
        <f>ROUND(IF(J113=0, IF(H113=0, 0, 1), H113/J113),5)</f>
        <v>0.92478000000000005</v>
      </c>
      <c r="M113" s="51"/>
      <c r="N113" s="62">
        <v>1409</v>
      </c>
      <c r="O113" s="51"/>
      <c r="P113" s="62">
        <v>914</v>
      </c>
      <c r="Q113" s="51"/>
      <c r="R113" s="72">
        <f>ROUND(IF(P113=0, IF(N113=0, 0, 1), N113/P113),5)</f>
        <v>1.54158</v>
      </c>
      <c r="S113" s="51"/>
      <c r="T113" s="62">
        <v>8920</v>
      </c>
      <c r="V113" s="72">
        <f t="shared" si="15"/>
        <v>0.15795999999999999</v>
      </c>
    </row>
    <row r="114" spans="1:22" x14ac:dyDescent="0.2">
      <c r="A114" s="51"/>
      <c r="B114" s="51"/>
      <c r="C114" s="51"/>
      <c r="D114" s="51"/>
      <c r="E114" s="51"/>
      <c r="F114" s="51" t="s">
        <v>161</v>
      </c>
      <c r="G114" s="51"/>
      <c r="H114" s="62">
        <v>713</v>
      </c>
      <c r="I114" s="51"/>
      <c r="J114" s="62">
        <v>300</v>
      </c>
      <c r="K114" s="51"/>
      <c r="L114" s="72">
        <f>ROUND(IF(J114=0, IF(H114=0, 0, 1), H114/J114),5)</f>
        <v>2.3766699999999998</v>
      </c>
      <c r="M114" s="51"/>
      <c r="N114" s="62">
        <v>1206</v>
      </c>
      <c r="O114" s="51"/>
      <c r="P114" s="62">
        <v>564</v>
      </c>
      <c r="Q114" s="51"/>
      <c r="R114" s="72">
        <f>ROUND(IF(P114=0, IF(N114=0, 0, 1), N114/P114),5)</f>
        <v>2.1383000000000001</v>
      </c>
      <c r="S114" s="51"/>
      <c r="T114" s="62">
        <v>2820</v>
      </c>
      <c r="V114" s="72">
        <f t="shared" si="15"/>
        <v>0.42765999999999998</v>
      </c>
    </row>
    <row r="115" spans="1:22" x14ac:dyDescent="0.2">
      <c r="A115" s="51"/>
      <c r="B115" s="51"/>
      <c r="C115" s="51"/>
      <c r="D115" s="51"/>
      <c r="E115" s="51"/>
      <c r="F115" s="51" t="s">
        <v>162</v>
      </c>
      <c r="G115" s="51"/>
      <c r="H115" s="62">
        <v>97</v>
      </c>
      <c r="I115" s="51"/>
      <c r="J115" s="62">
        <v>0</v>
      </c>
      <c r="K115" s="51"/>
      <c r="L115" s="72">
        <f>ROUND(IF(J115=0, IF(H115=0, 0, 1), H115/J115),5)</f>
        <v>1</v>
      </c>
      <c r="M115" s="51"/>
      <c r="N115" s="62">
        <v>746</v>
      </c>
      <c r="O115" s="51"/>
      <c r="P115" s="62">
        <v>750</v>
      </c>
      <c r="Q115" s="51"/>
      <c r="R115" s="72">
        <f>ROUND(IF(P115=0, IF(N115=0, 0, 1), N115/P115),5)</f>
        <v>0.99467000000000005</v>
      </c>
      <c r="S115" s="51"/>
      <c r="T115" s="62">
        <v>2000</v>
      </c>
      <c r="V115" s="72">
        <f t="shared" si="15"/>
        <v>0.373</v>
      </c>
    </row>
    <row r="116" spans="1:22" ht="16" thickBot="1" x14ac:dyDescent="0.25">
      <c r="A116" s="51"/>
      <c r="B116" s="51"/>
      <c r="C116" s="51"/>
      <c r="D116" s="51"/>
      <c r="E116" s="51"/>
      <c r="F116" s="51" t="s">
        <v>163</v>
      </c>
      <c r="G116" s="51"/>
      <c r="H116" s="63">
        <v>455</v>
      </c>
      <c r="I116" s="51"/>
      <c r="J116" s="63">
        <v>218</v>
      </c>
      <c r="K116" s="51"/>
      <c r="L116" s="82">
        <f>ROUND(IF(J116=0, IF(H116=0, 0, 1), H116/J116),5)</f>
        <v>2.0871599999999999</v>
      </c>
      <c r="M116" s="51"/>
      <c r="N116" s="63">
        <v>2977</v>
      </c>
      <c r="O116" s="51"/>
      <c r="P116" s="63">
        <v>1537</v>
      </c>
      <c r="Q116" s="51"/>
      <c r="R116" s="82">
        <f>ROUND(IF(P116=0, IF(N116=0, 0, 1), N116/P116),5)</f>
        <v>1.93689</v>
      </c>
      <c r="S116" s="51"/>
      <c r="T116" s="63">
        <v>19410</v>
      </c>
      <c r="V116" s="82">
        <f t="shared" si="15"/>
        <v>0.15337000000000001</v>
      </c>
    </row>
    <row r="117" spans="1:22" x14ac:dyDescent="0.2">
      <c r="A117" s="51"/>
      <c r="B117" s="51"/>
      <c r="C117" s="51"/>
      <c r="D117" s="51"/>
      <c r="E117" s="51" t="s">
        <v>164</v>
      </c>
      <c r="F117" s="51"/>
      <c r="G117" s="51"/>
      <c r="H117" s="62">
        <f>ROUND(SUM(H112:H116),5)</f>
        <v>1474</v>
      </c>
      <c r="I117" s="51"/>
      <c r="J117" s="62">
        <f>ROUND(SUM(J112:J116),5)</f>
        <v>744</v>
      </c>
      <c r="K117" s="51"/>
      <c r="L117" s="72">
        <f>ROUND(IF(J117=0, IF(H117=0, 0, 1), H117/J117),5)</f>
        <v>1.9811799999999999</v>
      </c>
      <c r="M117" s="51"/>
      <c r="N117" s="62">
        <f>ROUND(SUM(N112:N116),5)</f>
        <v>6338</v>
      </c>
      <c r="O117" s="51"/>
      <c r="P117" s="62">
        <f>ROUND(SUM(P112:P116),5)</f>
        <v>3765</v>
      </c>
      <c r="Q117" s="51"/>
      <c r="R117" s="72">
        <f>ROUND(IF(P117=0, IF(N117=0, 0, 1), N117/P117),5)</f>
        <v>1.6834</v>
      </c>
      <c r="S117" s="51"/>
      <c r="T117" s="62">
        <f>ROUND(SUM(T112:T116),5)</f>
        <v>33150</v>
      </c>
      <c r="V117" s="72">
        <f t="shared" si="15"/>
        <v>0.19119</v>
      </c>
    </row>
    <row r="118" spans="1:22" x14ac:dyDescent="0.2">
      <c r="A118" s="51"/>
      <c r="B118" s="51"/>
      <c r="C118" s="51"/>
      <c r="D118" s="51"/>
      <c r="E118" s="51" t="s">
        <v>165</v>
      </c>
      <c r="F118" s="51"/>
      <c r="G118" s="51"/>
      <c r="H118" s="62"/>
      <c r="I118" s="51"/>
      <c r="J118" s="62"/>
      <c r="K118" s="51"/>
      <c r="L118" s="72"/>
      <c r="M118" s="51"/>
      <c r="N118" s="62"/>
      <c r="O118" s="51"/>
      <c r="P118" s="62"/>
      <c r="Q118" s="51"/>
      <c r="R118" s="72"/>
      <c r="S118" s="51"/>
      <c r="T118" s="62"/>
      <c r="V118" s="72"/>
    </row>
    <row r="119" spans="1:22" x14ac:dyDescent="0.2">
      <c r="A119" s="51"/>
      <c r="B119" s="51"/>
      <c r="C119" s="51"/>
      <c r="D119" s="51"/>
      <c r="E119" s="51"/>
      <c r="F119" s="51" t="s">
        <v>166</v>
      </c>
      <c r="G119" s="51"/>
      <c r="H119" s="62">
        <v>1131</v>
      </c>
      <c r="I119" s="51"/>
      <c r="J119" s="62">
        <v>860</v>
      </c>
      <c r="K119" s="51"/>
      <c r="L119" s="72">
        <f>ROUND(IF(J119=0, IF(H119=0, 0, 1), H119/J119),5)</f>
        <v>1.3151200000000001</v>
      </c>
      <c r="M119" s="51"/>
      <c r="N119" s="62">
        <v>1813</v>
      </c>
      <c r="O119" s="51"/>
      <c r="P119" s="62">
        <v>1288</v>
      </c>
      <c r="Q119" s="51"/>
      <c r="R119" s="72">
        <f>ROUND(IF(P119=0, IF(N119=0, 0, 1), N119/P119),5)</f>
        <v>1.40761</v>
      </c>
      <c r="S119" s="51"/>
      <c r="T119" s="62">
        <v>4000</v>
      </c>
      <c r="V119" s="72">
        <f t="shared" si="15"/>
        <v>0.45324999999999999</v>
      </c>
    </row>
    <row r="120" spans="1:22" x14ac:dyDescent="0.2">
      <c r="A120" s="51"/>
      <c r="B120" s="51"/>
      <c r="C120" s="51"/>
      <c r="D120" s="51"/>
      <c r="E120" s="51"/>
      <c r="F120" s="51" t="s">
        <v>167</v>
      </c>
      <c r="G120" s="51"/>
      <c r="H120" s="62">
        <v>1210</v>
      </c>
      <c r="I120" s="51"/>
      <c r="J120" s="62">
        <v>1500</v>
      </c>
      <c r="K120" s="51"/>
      <c r="L120" s="72">
        <f>ROUND(IF(J120=0, IF(H120=0, 0, 1), H120/J120),5)</f>
        <v>0.80667</v>
      </c>
      <c r="M120" s="51"/>
      <c r="N120" s="62">
        <v>3525</v>
      </c>
      <c r="O120" s="51"/>
      <c r="P120" s="62">
        <v>3442</v>
      </c>
      <c r="Q120" s="51"/>
      <c r="R120" s="72">
        <f>ROUND(IF(P120=0, IF(N120=0, 0, 1), N120/P120),5)</f>
        <v>1.0241100000000001</v>
      </c>
      <c r="S120" s="51"/>
      <c r="T120" s="62">
        <v>18920</v>
      </c>
      <c r="V120" s="72">
        <f t="shared" si="15"/>
        <v>0.18631</v>
      </c>
    </row>
    <row r="121" spans="1:22" ht="16" thickBot="1" x14ac:dyDescent="0.25">
      <c r="A121" s="51"/>
      <c r="B121" s="51"/>
      <c r="C121" s="51"/>
      <c r="D121" s="51"/>
      <c r="E121" s="51"/>
      <c r="F121" s="51" t="s">
        <v>168</v>
      </c>
      <c r="G121" s="51"/>
      <c r="H121" s="63">
        <v>1284</v>
      </c>
      <c r="I121" s="51"/>
      <c r="J121" s="63">
        <v>1200</v>
      </c>
      <c r="K121" s="51"/>
      <c r="L121" s="82">
        <f>ROUND(IF(J121=0, IF(H121=0, 0, 1), H121/J121),5)</f>
        <v>1.07</v>
      </c>
      <c r="M121" s="51"/>
      <c r="N121" s="63">
        <v>1430</v>
      </c>
      <c r="O121" s="51"/>
      <c r="P121" s="63">
        <v>1200</v>
      </c>
      <c r="Q121" s="51"/>
      <c r="R121" s="82">
        <f>ROUND(IF(P121=0, IF(N121=0, 0, 1), N121/P121),5)</f>
        <v>1.19167</v>
      </c>
      <c r="S121" s="51"/>
      <c r="T121" s="63">
        <v>11730</v>
      </c>
      <c r="V121" s="82">
        <f t="shared" si="15"/>
        <v>0.12191</v>
      </c>
    </row>
    <row r="122" spans="1:22" x14ac:dyDescent="0.2">
      <c r="A122" s="51"/>
      <c r="B122" s="51"/>
      <c r="C122" s="51"/>
      <c r="D122" s="51"/>
      <c r="E122" s="51" t="s">
        <v>169</v>
      </c>
      <c r="F122" s="51"/>
      <c r="G122" s="51"/>
      <c r="H122" s="62">
        <f>ROUND(SUM(H118:H121),5)</f>
        <v>3625</v>
      </c>
      <c r="I122" s="51"/>
      <c r="J122" s="62">
        <f>ROUND(SUM(J118:J121),5)</f>
        <v>3560</v>
      </c>
      <c r="K122" s="51"/>
      <c r="L122" s="72">
        <f>ROUND(IF(J122=0, IF(H122=0, 0, 1), H122/J122),5)</f>
        <v>1.0182599999999999</v>
      </c>
      <c r="M122" s="51"/>
      <c r="N122" s="62">
        <f>ROUND(SUM(N118:N121),5)</f>
        <v>6768</v>
      </c>
      <c r="O122" s="51"/>
      <c r="P122" s="62">
        <f>ROUND(SUM(P118:P121),5)</f>
        <v>5930</v>
      </c>
      <c r="Q122" s="51"/>
      <c r="R122" s="72">
        <f>ROUND(IF(P122=0, IF(N122=0, 0, 1), N122/P122),5)</f>
        <v>1.1413199999999999</v>
      </c>
      <c r="S122" s="51"/>
      <c r="T122" s="62">
        <f>ROUND(SUM(T118:T121),5)</f>
        <v>34650</v>
      </c>
      <c r="V122" s="72">
        <f t="shared" si="15"/>
        <v>0.19531999999999999</v>
      </c>
    </row>
    <row r="123" spans="1:22" x14ac:dyDescent="0.2">
      <c r="A123" s="51"/>
      <c r="B123" s="51"/>
      <c r="C123" s="51"/>
      <c r="D123" s="51"/>
      <c r="E123" s="51" t="s">
        <v>170</v>
      </c>
      <c r="F123" s="51"/>
      <c r="G123" s="51"/>
      <c r="H123" s="62"/>
      <c r="I123" s="51"/>
      <c r="J123" s="62"/>
      <c r="K123" s="51"/>
      <c r="L123" s="72"/>
      <c r="M123" s="51"/>
      <c r="N123" s="62"/>
      <c r="O123" s="51"/>
      <c r="P123" s="62"/>
      <c r="Q123" s="51"/>
      <c r="R123" s="72"/>
      <c r="S123" s="51"/>
      <c r="T123" s="62"/>
      <c r="V123" s="72"/>
    </row>
    <row r="124" spans="1:22" x14ac:dyDescent="0.2">
      <c r="A124" s="51"/>
      <c r="B124" s="51"/>
      <c r="C124" s="51"/>
      <c r="D124" s="51"/>
      <c r="E124" s="51"/>
      <c r="F124" s="51" t="s">
        <v>171</v>
      </c>
      <c r="G124" s="51"/>
      <c r="H124" s="62">
        <v>817</v>
      </c>
      <c r="I124" s="51"/>
      <c r="J124" s="62">
        <v>365</v>
      </c>
      <c r="K124" s="51"/>
      <c r="L124" s="72">
        <f t="shared" ref="L124:L131" si="22">ROUND(IF(J124=0, IF(H124=0, 0, 1), H124/J124),5)</f>
        <v>2.2383600000000001</v>
      </c>
      <c r="M124" s="51"/>
      <c r="N124" s="62">
        <v>2478</v>
      </c>
      <c r="O124" s="51"/>
      <c r="P124" s="62">
        <v>2276</v>
      </c>
      <c r="Q124" s="51"/>
      <c r="R124" s="72">
        <f t="shared" ref="R124:R131" si="23">ROUND(IF(P124=0, IF(N124=0, 0, 1), N124/P124),5)</f>
        <v>1.0887500000000001</v>
      </c>
      <c r="S124" s="51"/>
      <c r="T124" s="62">
        <v>6180</v>
      </c>
      <c r="V124" s="72">
        <f t="shared" si="15"/>
        <v>0.40096999999999999</v>
      </c>
    </row>
    <row r="125" spans="1:22" x14ac:dyDescent="0.2">
      <c r="A125" s="51"/>
      <c r="B125" s="51"/>
      <c r="C125" s="51"/>
      <c r="D125" s="51"/>
      <c r="E125" s="51"/>
      <c r="F125" s="51" t="s">
        <v>172</v>
      </c>
      <c r="G125" s="51"/>
      <c r="H125" s="62">
        <v>0</v>
      </c>
      <c r="I125" s="51"/>
      <c r="J125" s="62">
        <v>0</v>
      </c>
      <c r="K125" s="51"/>
      <c r="L125" s="72">
        <f t="shared" si="22"/>
        <v>0</v>
      </c>
      <c r="M125" s="51"/>
      <c r="N125" s="62">
        <v>335</v>
      </c>
      <c r="O125" s="51"/>
      <c r="P125" s="62">
        <v>0</v>
      </c>
      <c r="Q125" s="51"/>
      <c r="R125" s="72">
        <f t="shared" si="23"/>
        <v>1</v>
      </c>
      <c r="S125" s="51"/>
      <c r="T125" s="62">
        <v>6000</v>
      </c>
      <c r="V125" s="72">
        <f t="shared" si="15"/>
        <v>5.5829999999999998E-2</v>
      </c>
    </row>
    <row r="126" spans="1:22" x14ac:dyDescent="0.2">
      <c r="A126" s="51"/>
      <c r="B126" s="51"/>
      <c r="C126" s="51"/>
      <c r="D126" s="51"/>
      <c r="E126" s="51"/>
      <c r="F126" s="51" t="s">
        <v>173</v>
      </c>
      <c r="G126" s="51"/>
      <c r="H126" s="62">
        <v>114</v>
      </c>
      <c r="I126" s="51"/>
      <c r="J126" s="62">
        <v>730</v>
      </c>
      <c r="K126" s="51"/>
      <c r="L126" s="72">
        <f t="shared" si="22"/>
        <v>0.15615999999999999</v>
      </c>
      <c r="M126" s="51"/>
      <c r="N126" s="62">
        <v>1097</v>
      </c>
      <c r="O126" s="51"/>
      <c r="P126" s="62">
        <v>1685</v>
      </c>
      <c r="Q126" s="51"/>
      <c r="R126" s="72">
        <f t="shared" si="23"/>
        <v>0.65103999999999995</v>
      </c>
      <c r="S126" s="51"/>
      <c r="T126" s="62">
        <v>5870</v>
      </c>
      <c r="V126" s="72">
        <f t="shared" si="15"/>
        <v>0.18687999999999999</v>
      </c>
    </row>
    <row r="127" spans="1:22" x14ac:dyDescent="0.2">
      <c r="A127" s="51"/>
      <c r="B127" s="51"/>
      <c r="C127" s="51"/>
      <c r="D127" s="51"/>
      <c r="E127" s="51"/>
      <c r="F127" s="51" t="s">
        <v>174</v>
      </c>
      <c r="G127" s="51"/>
      <c r="H127" s="62">
        <v>1792</v>
      </c>
      <c r="I127" s="51"/>
      <c r="J127" s="62">
        <v>945</v>
      </c>
      <c r="K127" s="51"/>
      <c r="L127" s="72">
        <f t="shared" si="22"/>
        <v>1.8963000000000001</v>
      </c>
      <c r="M127" s="51"/>
      <c r="N127" s="62">
        <v>3766</v>
      </c>
      <c r="O127" s="51"/>
      <c r="P127" s="62">
        <v>4280</v>
      </c>
      <c r="Q127" s="51"/>
      <c r="R127" s="72">
        <f t="shared" si="23"/>
        <v>0.87990999999999997</v>
      </c>
      <c r="S127" s="51"/>
      <c r="T127" s="62">
        <v>11410</v>
      </c>
      <c r="V127" s="72">
        <f t="shared" si="15"/>
        <v>0.33006000000000002</v>
      </c>
    </row>
    <row r="128" spans="1:22" x14ac:dyDescent="0.2">
      <c r="A128" s="51"/>
      <c r="B128" s="51"/>
      <c r="C128" s="51"/>
      <c r="D128" s="51"/>
      <c r="E128" s="51"/>
      <c r="F128" s="51" t="s">
        <v>175</v>
      </c>
      <c r="G128" s="51"/>
      <c r="H128" s="62">
        <v>929</v>
      </c>
      <c r="I128" s="51"/>
      <c r="J128" s="62">
        <v>965</v>
      </c>
      <c r="K128" s="51"/>
      <c r="L128" s="72">
        <f t="shared" si="22"/>
        <v>0.96269000000000005</v>
      </c>
      <c r="M128" s="51"/>
      <c r="N128" s="62">
        <v>2668</v>
      </c>
      <c r="O128" s="51"/>
      <c r="P128" s="62">
        <v>2709</v>
      </c>
      <c r="Q128" s="51"/>
      <c r="R128" s="72">
        <f t="shared" si="23"/>
        <v>0.98487000000000002</v>
      </c>
      <c r="S128" s="51"/>
      <c r="T128" s="62">
        <v>11440</v>
      </c>
      <c r="V128" s="72">
        <f t="shared" si="15"/>
        <v>0.23322000000000001</v>
      </c>
    </row>
    <row r="129" spans="1:22" x14ac:dyDescent="0.2">
      <c r="A129" s="51"/>
      <c r="B129" s="51"/>
      <c r="C129" s="51"/>
      <c r="D129" s="51"/>
      <c r="E129" s="51"/>
      <c r="F129" s="51" t="s">
        <v>176</v>
      </c>
      <c r="G129" s="51"/>
      <c r="H129" s="62">
        <v>110</v>
      </c>
      <c r="I129" s="51"/>
      <c r="J129" s="62">
        <v>50</v>
      </c>
      <c r="K129" s="51"/>
      <c r="L129" s="72">
        <f t="shared" si="22"/>
        <v>2.2000000000000002</v>
      </c>
      <c r="M129" s="51"/>
      <c r="N129" s="62">
        <v>110</v>
      </c>
      <c r="O129" s="51"/>
      <c r="P129" s="62">
        <v>50</v>
      </c>
      <c r="Q129" s="51"/>
      <c r="R129" s="72">
        <f t="shared" si="23"/>
        <v>2.2000000000000002</v>
      </c>
      <c r="S129" s="51"/>
      <c r="T129" s="62">
        <v>50</v>
      </c>
      <c r="V129" s="72">
        <f t="shared" si="15"/>
        <v>2.2000000000000002</v>
      </c>
    </row>
    <row r="130" spans="1:22" ht="16" thickBot="1" x14ac:dyDescent="0.25">
      <c r="A130" s="51"/>
      <c r="B130" s="51"/>
      <c r="C130" s="51"/>
      <c r="D130" s="51"/>
      <c r="E130" s="51"/>
      <c r="F130" s="51" t="s">
        <v>177</v>
      </c>
      <c r="G130" s="51"/>
      <c r="H130" s="63">
        <v>0</v>
      </c>
      <c r="I130" s="51"/>
      <c r="J130" s="63">
        <v>0</v>
      </c>
      <c r="K130" s="51"/>
      <c r="L130" s="82">
        <f t="shared" si="22"/>
        <v>0</v>
      </c>
      <c r="M130" s="51"/>
      <c r="N130" s="63">
        <v>0</v>
      </c>
      <c r="O130" s="51"/>
      <c r="P130" s="63">
        <v>0</v>
      </c>
      <c r="Q130" s="51"/>
      <c r="R130" s="82">
        <f t="shared" si="23"/>
        <v>0</v>
      </c>
      <c r="S130" s="51"/>
      <c r="T130" s="63">
        <v>50</v>
      </c>
      <c r="V130" s="82">
        <f t="shared" si="15"/>
        <v>0</v>
      </c>
    </row>
    <row r="131" spans="1:22" x14ac:dyDescent="0.2">
      <c r="A131" s="51"/>
      <c r="B131" s="51"/>
      <c r="C131" s="51"/>
      <c r="D131" s="51"/>
      <c r="E131" s="51" t="s">
        <v>178</v>
      </c>
      <c r="F131" s="51"/>
      <c r="G131" s="51"/>
      <c r="H131" s="62">
        <f>ROUND(SUM(H123:H130),5)</f>
        <v>3762</v>
      </c>
      <c r="I131" s="51"/>
      <c r="J131" s="62">
        <f>ROUND(SUM(J123:J130),5)</f>
        <v>3055</v>
      </c>
      <c r="K131" s="51"/>
      <c r="L131" s="72">
        <f t="shared" si="22"/>
        <v>1.23142</v>
      </c>
      <c r="M131" s="51"/>
      <c r="N131" s="62">
        <f>ROUND(SUM(N123:N130),5)</f>
        <v>10454</v>
      </c>
      <c r="O131" s="51"/>
      <c r="P131" s="62">
        <f>ROUND(SUM(P123:P130),5)</f>
        <v>11000</v>
      </c>
      <c r="Q131" s="51"/>
      <c r="R131" s="72">
        <f t="shared" si="23"/>
        <v>0.95035999999999998</v>
      </c>
      <c r="S131" s="51"/>
      <c r="T131" s="62">
        <f>ROUND(SUM(T123:T130),5)</f>
        <v>41000</v>
      </c>
      <c r="V131" s="72">
        <f t="shared" si="15"/>
        <v>0.25497999999999998</v>
      </c>
    </row>
    <row r="132" spans="1:22" x14ac:dyDescent="0.2">
      <c r="A132" s="51"/>
      <c r="B132" s="51"/>
      <c r="C132" s="51"/>
      <c r="D132" s="51"/>
      <c r="E132" s="51" t="s">
        <v>179</v>
      </c>
      <c r="F132" s="51"/>
      <c r="G132" s="51"/>
      <c r="H132" s="62"/>
      <c r="I132" s="51"/>
      <c r="J132" s="62"/>
      <c r="K132" s="51"/>
      <c r="L132" s="72"/>
      <c r="M132" s="51"/>
      <c r="N132" s="62"/>
      <c r="O132" s="51"/>
      <c r="P132" s="62"/>
      <c r="Q132" s="51"/>
      <c r="R132" s="72"/>
      <c r="S132" s="51"/>
      <c r="T132" s="62"/>
      <c r="V132" s="72">
        <f t="shared" si="15"/>
        <v>0</v>
      </c>
    </row>
    <row r="133" spans="1:22" x14ac:dyDescent="0.2">
      <c r="A133" s="51"/>
      <c r="B133" s="51"/>
      <c r="C133" s="51"/>
      <c r="D133" s="51"/>
      <c r="E133" s="51"/>
      <c r="F133" s="51" t="s">
        <v>180</v>
      </c>
      <c r="G133" s="51"/>
      <c r="H133" s="62">
        <v>1381</v>
      </c>
      <c r="I133" s="51"/>
      <c r="J133" s="62">
        <v>1433</v>
      </c>
      <c r="K133" s="51"/>
      <c r="L133" s="72">
        <f t="shared" ref="L133:L138" si="24">ROUND(IF(J133=0, IF(H133=0, 0, 1), H133/J133),5)</f>
        <v>0.96370999999999996</v>
      </c>
      <c r="M133" s="51"/>
      <c r="N133" s="62">
        <v>6154</v>
      </c>
      <c r="O133" s="51"/>
      <c r="P133" s="62">
        <v>5313</v>
      </c>
      <c r="Q133" s="51"/>
      <c r="R133" s="72">
        <f t="shared" ref="R133:R138" si="25">ROUND(IF(P133=0, IF(N133=0, 0, 1), N133/P133),5)</f>
        <v>1.15829</v>
      </c>
      <c r="S133" s="51"/>
      <c r="T133" s="62">
        <v>18860</v>
      </c>
      <c r="V133" s="72">
        <f t="shared" si="15"/>
        <v>0.32629999999999998</v>
      </c>
    </row>
    <row r="134" spans="1:22" x14ac:dyDescent="0.2">
      <c r="A134" s="51"/>
      <c r="B134" s="51"/>
      <c r="C134" s="51"/>
      <c r="D134" s="51"/>
      <c r="E134" s="51"/>
      <c r="F134" s="51" t="s">
        <v>181</v>
      </c>
      <c r="G134" s="51"/>
      <c r="H134" s="62">
        <v>1149</v>
      </c>
      <c r="I134" s="51"/>
      <c r="J134" s="62">
        <v>1149</v>
      </c>
      <c r="K134" s="51"/>
      <c r="L134" s="72">
        <f t="shared" si="24"/>
        <v>1</v>
      </c>
      <c r="M134" s="51"/>
      <c r="N134" s="62">
        <v>3418</v>
      </c>
      <c r="O134" s="51"/>
      <c r="P134" s="62">
        <v>3418</v>
      </c>
      <c r="Q134" s="51"/>
      <c r="R134" s="72">
        <f t="shared" si="25"/>
        <v>1</v>
      </c>
      <c r="S134" s="51"/>
      <c r="T134" s="62">
        <v>13480</v>
      </c>
      <c r="V134" s="72">
        <f t="shared" si="15"/>
        <v>0.25356000000000001</v>
      </c>
    </row>
    <row r="135" spans="1:22" ht="16" thickBot="1" x14ac:dyDescent="0.25">
      <c r="A135" s="51"/>
      <c r="B135" s="51"/>
      <c r="C135" s="51"/>
      <c r="D135" s="51"/>
      <c r="E135" s="51"/>
      <c r="F135" s="51" t="s">
        <v>182</v>
      </c>
      <c r="G135" s="51"/>
      <c r="H135" s="64">
        <v>0</v>
      </c>
      <c r="I135" s="51"/>
      <c r="J135" s="64">
        <v>0</v>
      </c>
      <c r="K135" s="51"/>
      <c r="L135" s="83">
        <f t="shared" si="24"/>
        <v>0</v>
      </c>
      <c r="M135" s="51"/>
      <c r="N135" s="64">
        <v>0</v>
      </c>
      <c r="O135" s="51"/>
      <c r="P135" s="64">
        <v>0</v>
      </c>
      <c r="Q135" s="51"/>
      <c r="R135" s="83">
        <f t="shared" si="25"/>
        <v>0</v>
      </c>
      <c r="S135" s="51"/>
      <c r="T135" s="64">
        <v>30</v>
      </c>
      <c r="V135" s="83">
        <f t="shared" ref="V135:V148" si="26">ROUND(IF(T135=0, IF(N135=0, 0, 1), N135/T135),5)</f>
        <v>0</v>
      </c>
    </row>
    <row r="136" spans="1:22" ht="16" thickBot="1" x14ac:dyDescent="0.25">
      <c r="A136" s="51"/>
      <c r="B136" s="51"/>
      <c r="C136" s="51"/>
      <c r="D136" s="51"/>
      <c r="E136" s="51" t="s">
        <v>183</v>
      </c>
      <c r="F136" s="51"/>
      <c r="G136" s="51"/>
      <c r="H136" s="66">
        <f>ROUND(SUM(H132:H135),5)</f>
        <v>2530</v>
      </c>
      <c r="I136" s="51"/>
      <c r="J136" s="66">
        <f>ROUND(SUM(J132:J135),5)</f>
        <v>2582</v>
      </c>
      <c r="K136" s="51"/>
      <c r="L136" s="85">
        <f t="shared" si="24"/>
        <v>0.97985999999999995</v>
      </c>
      <c r="M136" s="51"/>
      <c r="N136" s="66">
        <f>ROUND(SUM(N132:N135),5)</f>
        <v>9572</v>
      </c>
      <c r="O136" s="51"/>
      <c r="P136" s="66">
        <f>ROUND(SUM(P132:P135),5)</f>
        <v>8731</v>
      </c>
      <c r="Q136" s="51"/>
      <c r="R136" s="85">
        <f t="shared" si="25"/>
        <v>1.09632</v>
      </c>
      <c r="S136" s="51"/>
      <c r="T136" s="66">
        <f>ROUND(SUM(T132:T135),5)</f>
        <v>32370</v>
      </c>
      <c r="V136" s="85">
        <f t="shared" si="26"/>
        <v>0.29570999999999997</v>
      </c>
    </row>
    <row r="137" spans="1:22" ht="16" thickBot="1" x14ac:dyDescent="0.25">
      <c r="A137" s="51"/>
      <c r="B137" s="51"/>
      <c r="C137" s="51"/>
      <c r="D137" s="51" t="s">
        <v>184</v>
      </c>
      <c r="E137" s="51"/>
      <c r="F137" s="51"/>
      <c r="G137" s="51"/>
      <c r="H137" s="65">
        <f>ROUND(H75+H83+H92+H100+H111+H117+H122+H131+H136,5)</f>
        <v>83776</v>
      </c>
      <c r="I137" s="51"/>
      <c r="J137" s="65">
        <f>ROUND(J75+J83+J92+J100+J111+J117+J122+J131+J136,5)</f>
        <v>88223</v>
      </c>
      <c r="K137" s="51"/>
      <c r="L137" s="84">
        <f t="shared" si="24"/>
        <v>0.94959000000000005</v>
      </c>
      <c r="M137" s="51"/>
      <c r="N137" s="65">
        <f>ROUND(N75+N83+N92+N100+N111+N117+N122+N131+N136,5)</f>
        <v>252337</v>
      </c>
      <c r="O137" s="51"/>
      <c r="P137" s="65">
        <f>ROUND(P75+P83+P92+P100+P111+P117+P122+P131+P136,5)</f>
        <v>260349</v>
      </c>
      <c r="Q137" s="51"/>
      <c r="R137" s="84">
        <f t="shared" si="25"/>
        <v>0.96923000000000004</v>
      </c>
      <c r="S137" s="51"/>
      <c r="T137" s="65">
        <f>ROUND(T75+T83+T92+T100+T111+T117+T122+T131+T136,5)</f>
        <v>1223750</v>
      </c>
      <c r="V137" s="84">
        <f t="shared" si="26"/>
        <v>0.20619999999999999</v>
      </c>
    </row>
    <row r="138" spans="1:22" x14ac:dyDescent="0.2">
      <c r="A138" s="51"/>
      <c r="B138" s="51" t="s">
        <v>185</v>
      </c>
      <c r="C138" s="51"/>
      <c r="D138" s="51"/>
      <c r="E138" s="51"/>
      <c r="F138" s="51"/>
      <c r="G138" s="51"/>
      <c r="H138" s="62">
        <f>ROUND(H3+H74-H137,5)</f>
        <v>577</v>
      </c>
      <c r="I138" s="51"/>
      <c r="J138" s="62">
        <f>ROUND(J3+J74-J137,5)</f>
        <v>-7592</v>
      </c>
      <c r="K138" s="51"/>
      <c r="L138" s="72">
        <f t="shared" si="24"/>
        <v>-7.5999999999999998E-2</v>
      </c>
      <c r="M138" s="51"/>
      <c r="N138" s="62">
        <f>ROUND(N3+N74-N137,5)</f>
        <v>120851</v>
      </c>
      <c r="O138" s="51"/>
      <c r="P138" s="62">
        <f>ROUND(P3+P74-P137,5)</f>
        <v>137650</v>
      </c>
      <c r="Q138" s="51"/>
      <c r="R138" s="72">
        <f t="shared" si="25"/>
        <v>0.87795999999999996</v>
      </c>
      <c r="S138" s="51"/>
      <c r="T138" s="62">
        <f>ROUND(T3+T74-T137,5)</f>
        <v>-69670</v>
      </c>
      <c r="V138" s="72"/>
    </row>
    <row r="139" spans="1:22" x14ac:dyDescent="0.2">
      <c r="A139" s="51"/>
      <c r="B139" s="51" t="s">
        <v>186</v>
      </c>
      <c r="C139" s="51"/>
      <c r="D139" s="51"/>
      <c r="E139" s="51"/>
      <c r="F139" s="51"/>
      <c r="G139" s="51"/>
      <c r="H139" s="62"/>
      <c r="I139" s="51"/>
      <c r="J139" s="62"/>
      <c r="K139" s="51"/>
      <c r="L139" s="72"/>
      <c r="M139" s="51"/>
      <c r="N139" s="62"/>
      <c r="O139" s="51"/>
      <c r="P139" s="62"/>
      <c r="Q139" s="51"/>
      <c r="R139" s="72"/>
      <c r="S139" s="51"/>
      <c r="T139" s="62"/>
      <c r="V139" s="72"/>
    </row>
    <row r="140" spans="1:22" x14ac:dyDescent="0.2">
      <c r="A140" s="51"/>
      <c r="B140" s="51"/>
      <c r="C140" s="51" t="s">
        <v>187</v>
      </c>
      <c r="D140" s="51"/>
      <c r="E140" s="51"/>
      <c r="F140" s="51"/>
      <c r="G140" s="51"/>
      <c r="H140" s="62"/>
      <c r="I140" s="51"/>
      <c r="J140" s="62"/>
      <c r="K140" s="51"/>
      <c r="L140" s="72"/>
      <c r="M140" s="51"/>
      <c r="N140" s="62"/>
      <c r="O140" s="51"/>
      <c r="P140" s="62"/>
      <c r="Q140" s="51"/>
      <c r="R140" s="72"/>
      <c r="S140" s="51"/>
      <c r="T140" s="62"/>
      <c r="V140" s="72"/>
    </row>
    <row r="141" spans="1:22" x14ac:dyDescent="0.2">
      <c r="A141" s="51"/>
      <c r="B141" s="51"/>
      <c r="C141" s="51"/>
      <c r="D141" s="51" t="s">
        <v>188</v>
      </c>
      <c r="E141" s="51"/>
      <c r="F141" s="51"/>
      <c r="G141" s="51"/>
      <c r="H141" s="62"/>
      <c r="I141" s="51"/>
      <c r="J141" s="62"/>
      <c r="K141" s="51"/>
      <c r="L141" s="72"/>
      <c r="M141" s="51"/>
      <c r="N141" s="62"/>
      <c r="O141" s="51"/>
      <c r="P141" s="62"/>
      <c r="Q141" s="51"/>
      <c r="R141" s="72"/>
      <c r="S141" s="51"/>
      <c r="T141" s="62"/>
      <c r="V141" s="72"/>
    </row>
    <row r="142" spans="1:22" ht="16" thickBot="1" x14ac:dyDescent="0.25">
      <c r="A142" s="51"/>
      <c r="B142" s="51"/>
      <c r="C142" s="51"/>
      <c r="D142" s="51"/>
      <c r="E142" s="51" t="s">
        <v>189</v>
      </c>
      <c r="F142" s="51"/>
      <c r="G142" s="51"/>
      <c r="H142" s="63">
        <v>0</v>
      </c>
      <c r="I142" s="51"/>
      <c r="J142" s="63">
        <v>0</v>
      </c>
      <c r="K142" s="51"/>
      <c r="L142" s="82">
        <f t="shared" ref="L142:L149" si="27">ROUND(IF(J142=0, IF(H142=0, 0, 1), H142/J142),5)</f>
        <v>0</v>
      </c>
      <c r="M142" s="51"/>
      <c r="N142" s="63">
        <v>0</v>
      </c>
      <c r="O142" s="51"/>
      <c r="P142" s="63">
        <v>0</v>
      </c>
      <c r="Q142" s="51"/>
      <c r="R142" s="82">
        <f t="shared" ref="R142:R149" si="28">ROUND(IF(P142=0, IF(N142=0, 0, 1), N142/P142),5)</f>
        <v>0</v>
      </c>
      <c r="S142" s="51"/>
      <c r="T142" s="63">
        <v>70000</v>
      </c>
      <c r="V142" s="82">
        <f t="shared" si="26"/>
        <v>0</v>
      </c>
    </row>
    <row r="143" spans="1:22" x14ac:dyDescent="0.2">
      <c r="A143" s="51"/>
      <c r="B143" s="51"/>
      <c r="C143" s="51"/>
      <c r="D143" s="51" t="s">
        <v>190</v>
      </c>
      <c r="E143" s="51"/>
      <c r="F143" s="51"/>
      <c r="G143" s="51"/>
      <c r="H143" s="62">
        <f>ROUND(SUM(H141:H142),5)</f>
        <v>0</v>
      </c>
      <c r="I143" s="51"/>
      <c r="J143" s="62">
        <f>ROUND(SUM(J141:J142),5)</f>
        <v>0</v>
      </c>
      <c r="K143" s="51"/>
      <c r="L143" s="72">
        <f t="shared" si="27"/>
        <v>0</v>
      </c>
      <c r="M143" s="51"/>
      <c r="N143" s="62">
        <f>ROUND(SUM(N141:N142),5)</f>
        <v>0</v>
      </c>
      <c r="O143" s="51"/>
      <c r="P143" s="62">
        <f>ROUND(SUM(P141:P142),5)</f>
        <v>0</v>
      </c>
      <c r="Q143" s="51"/>
      <c r="R143" s="72">
        <f t="shared" si="28"/>
        <v>0</v>
      </c>
      <c r="S143" s="51"/>
      <c r="T143" s="62">
        <f>ROUND(SUM(T141:T142),5)</f>
        <v>70000</v>
      </c>
      <c r="V143" s="72">
        <f t="shared" si="26"/>
        <v>0</v>
      </c>
    </row>
    <row r="144" spans="1:22" x14ac:dyDescent="0.2">
      <c r="A144" s="51"/>
      <c r="B144" s="51"/>
      <c r="C144" s="51"/>
      <c r="D144" s="51" t="s">
        <v>191</v>
      </c>
      <c r="E144" s="51"/>
      <c r="F144" s="51"/>
      <c r="G144" s="51"/>
      <c r="H144" s="62">
        <v>8</v>
      </c>
      <c r="I144" s="51"/>
      <c r="J144" s="62">
        <v>0</v>
      </c>
      <c r="K144" s="51"/>
      <c r="L144" s="72">
        <f t="shared" si="27"/>
        <v>1</v>
      </c>
      <c r="M144" s="51"/>
      <c r="N144" s="62">
        <v>21</v>
      </c>
      <c r="O144" s="51"/>
      <c r="P144" s="62">
        <v>0</v>
      </c>
      <c r="Q144" s="51"/>
      <c r="R144" s="72">
        <f t="shared" si="28"/>
        <v>1</v>
      </c>
      <c r="S144" s="51"/>
      <c r="T144" s="62">
        <v>0</v>
      </c>
      <c r="V144" s="72">
        <f t="shared" si="26"/>
        <v>1</v>
      </c>
    </row>
    <row r="145" spans="1:22" x14ac:dyDescent="0.2">
      <c r="A145" s="51"/>
      <c r="B145" s="51"/>
      <c r="C145" s="51"/>
      <c r="D145" s="51" t="s">
        <v>192</v>
      </c>
      <c r="E145" s="51"/>
      <c r="F145" s="51"/>
      <c r="G145" s="51"/>
      <c r="H145" s="62">
        <v>436</v>
      </c>
      <c r="I145" s="51"/>
      <c r="J145" s="62">
        <v>0</v>
      </c>
      <c r="K145" s="51"/>
      <c r="L145" s="72">
        <f t="shared" si="27"/>
        <v>1</v>
      </c>
      <c r="M145" s="51"/>
      <c r="N145" s="62">
        <v>275</v>
      </c>
      <c r="O145" s="51"/>
      <c r="P145" s="62">
        <v>0</v>
      </c>
      <c r="Q145" s="51"/>
      <c r="R145" s="72">
        <f t="shared" si="28"/>
        <v>1</v>
      </c>
      <c r="S145" s="51"/>
      <c r="T145" s="62">
        <v>0</v>
      </c>
      <c r="V145" s="72">
        <f t="shared" si="26"/>
        <v>1</v>
      </c>
    </row>
    <row r="146" spans="1:22" ht="16" thickBot="1" x14ac:dyDescent="0.25">
      <c r="A146" s="51"/>
      <c r="B146" s="51"/>
      <c r="C146" s="51"/>
      <c r="D146" s="51" t="s">
        <v>193</v>
      </c>
      <c r="E146" s="51"/>
      <c r="F146" s="51"/>
      <c r="G146" s="51"/>
      <c r="H146" s="64">
        <v>13899</v>
      </c>
      <c r="I146" s="51"/>
      <c r="J146" s="64">
        <v>0</v>
      </c>
      <c r="K146" s="51"/>
      <c r="L146" s="83">
        <f t="shared" si="27"/>
        <v>1</v>
      </c>
      <c r="M146" s="51"/>
      <c r="N146" s="64">
        <v>13899</v>
      </c>
      <c r="O146" s="51"/>
      <c r="P146" s="64">
        <v>0</v>
      </c>
      <c r="Q146" s="51"/>
      <c r="R146" s="83">
        <f t="shared" si="28"/>
        <v>1</v>
      </c>
      <c r="S146" s="51"/>
      <c r="T146" s="64">
        <v>0</v>
      </c>
      <c r="V146" s="83">
        <f t="shared" si="26"/>
        <v>1</v>
      </c>
    </row>
    <row r="147" spans="1:22" ht="16" thickBot="1" x14ac:dyDescent="0.25">
      <c r="A147" s="51"/>
      <c r="B147" s="51"/>
      <c r="C147" s="51" t="s">
        <v>194</v>
      </c>
      <c r="D147" s="51"/>
      <c r="E147" s="51"/>
      <c r="F147" s="51"/>
      <c r="G147" s="51"/>
      <c r="H147" s="66">
        <f>ROUND(H140+SUM(H143:H146),5)</f>
        <v>14343</v>
      </c>
      <c r="I147" s="51"/>
      <c r="J147" s="66">
        <f>ROUND(J140+SUM(J143:J146),5)</f>
        <v>0</v>
      </c>
      <c r="K147" s="51"/>
      <c r="L147" s="85">
        <f t="shared" si="27"/>
        <v>1</v>
      </c>
      <c r="M147" s="51"/>
      <c r="N147" s="66">
        <f>ROUND(N140+SUM(N143:N146),5)</f>
        <v>14195</v>
      </c>
      <c r="O147" s="51"/>
      <c r="P147" s="66">
        <f>ROUND(P140+SUM(P143:P146),5)</f>
        <v>0</v>
      </c>
      <c r="Q147" s="51"/>
      <c r="R147" s="85">
        <f t="shared" si="28"/>
        <v>1</v>
      </c>
      <c r="S147" s="51"/>
      <c r="T147" s="66">
        <f>ROUND(T140+SUM(T143:T146),5)</f>
        <v>70000</v>
      </c>
      <c r="V147" s="85">
        <f t="shared" si="26"/>
        <v>0.20279</v>
      </c>
    </row>
    <row r="148" spans="1:22" ht="16" thickBot="1" x14ac:dyDescent="0.25">
      <c r="A148" s="51"/>
      <c r="B148" s="51" t="s">
        <v>195</v>
      </c>
      <c r="C148" s="51"/>
      <c r="D148" s="51"/>
      <c r="E148" s="51"/>
      <c r="F148" s="51"/>
      <c r="G148" s="51"/>
      <c r="H148" s="66">
        <f>ROUND(H139+H147,5)</f>
        <v>14343</v>
      </c>
      <c r="I148" s="51"/>
      <c r="J148" s="66">
        <f>ROUND(J139+J147,5)</f>
        <v>0</v>
      </c>
      <c r="K148" s="51"/>
      <c r="L148" s="85">
        <f t="shared" si="27"/>
        <v>1</v>
      </c>
      <c r="M148" s="51"/>
      <c r="N148" s="66">
        <f>ROUND(N139+N147,5)</f>
        <v>14195</v>
      </c>
      <c r="O148" s="51"/>
      <c r="P148" s="66">
        <f>ROUND(P139+P147,5)</f>
        <v>0</v>
      </c>
      <c r="Q148" s="51"/>
      <c r="R148" s="85">
        <f t="shared" si="28"/>
        <v>1</v>
      </c>
      <c r="S148" s="51"/>
      <c r="T148" s="66">
        <f>ROUND(T139+T147,5)</f>
        <v>70000</v>
      </c>
      <c r="V148" s="85">
        <f t="shared" si="26"/>
        <v>0.20279</v>
      </c>
    </row>
    <row r="149" spans="1:22" s="87" customFormat="1" ht="14" thickBot="1" x14ac:dyDescent="0.2">
      <c r="A149" s="51" t="s">
        <v>196</v>
      </c>
      <c r="B149" s="51"/>
      <c r="C149" s="51"/>
      <c r="D149" s="51"/>
      <c r="E149" s="51"/>
      <c r="F149" s="51"/>
      <c r="G149" s="51"/>
      <c r="H149" s="67">
        <f>ROUND(H138+H148,5)</f>
        <v>14920</v>
      </c>
      <c r="I149" s="51"/>
      <c r="J149" s="67">
        <f>ROUND(J138+J148,5)</f>
        <v>-7592</v>
      </c>
      <c r="K149" s="51"/>
      <c r="L149" s="86">
        <f t="shared" si="27"/>
        <v>-1.96523</v>
      </c>
      <c r="M149" s="51"/>
      <c r="N149" s="67">
        <f>ROUND(N138+N148,5)</f>
        <v>135046</v>
      </c>
      <c r="O149" s="51"/>
      <c r="P149" s="67">
        <f>ROUND(P138+P148,5)</f>
        <v>137650</v>
      </c>
      <c r="Q149" s="51"/>
      <c r="R149" s="86">
        <f t="shared" si="28"/>
        <v>0.98107999999999995</v>
      </c>
      <c r="S149" s="51"/>
      <c r="T149" s="67">
        <f>ROUND(T138+T148,5)</f>
        <v>330</v>
      </c>
      <c r="V149" s="85"/>
    </row>
    <row r="150" spans="1:22" ht="16" thickTop="1" x14ac:dyDescent="0.2"/>
    <row r="152" spans="1:22" ht="16" thickBot="1" x14ac:dyDescent="0.25">
      <c r="F152" s="51" t="s">
        <v>203</v>
      </c>
      <c r="H152" s="62"/>
      <c r="I152" s="51"/>
      <c r="J152" s="62"/>
      <c r="K152" s="51"/>
      <c r="L152" s="72"/>
      <c r="M152" s="51"/>
      <c r="N152" s="62">
        <f>270000</f>
        <v>270000</v>
      </c>
      <c r="O152" s="51"/>
      <c r="P152" s="62"/>
      <c r="Q152" s="51"/>
      <c r="R152" s="72"/>
      <c r="S152" s="51"/>
      <c r="T152" s="62"/>
    </row>
    <row r="153" spans="1:22" ht="16" thickBot="1" x14ac:dyDescent="0.25">
      <c r="A153" s="51" t="s">
        <v>205</v>
      </c>
      <c r="B153" s="51"/>
      <c r="C153" s="51"/>
      <c r="D153" s="51"/>
      <c r="E153" s="51"/>
      <c r="F153" s="51"/>
      <c r="G153" s="51"/>
      <c r="H153" s="67">
        <f>+H149+H152</f>
        <v>14920</v>
      </c>
      <c r="I153" s="51"/>
      <c r="J153" s="67">
        <f>+J149+J152</f>
        <v>-7592</v>
      </c>
      <c r="K153" s="51"/>
      <c r="L153" s="86">
        <f>+L149+L152</f>
        <v>-1.96523</v>
      </c>
      <c r="M153" s="51"/>
      <c r="N153" s="67">
        <f>+N149+N152</f>
        <v>405046</v>
      </c>
      <c r="O153" s="51"/>
      <c r="P153" s="67">
        <f>+P149</f>
        <v>137650</v>
      </c>
      <c r="Q153" s="51"/>
      <c r="R153" s="67">
        <f>+R149+R152</f>
        <v>0.98107999999999995</v>
      </c>
      <c r="S153" s="51"/>
      <c r="T153" s="67">
        <f>ROUND(T142+T152,5)</f>
        <v>70000</v>
      </c>
    </row>
    <row r="154" spans="1:22" ht="16" thickTop="1" x14ac:dyDescent="0.2"/>
  </sheetData>
  <pageMargins left="0.45" right="0.2" top="0.8" bottom="0.4" header="0.1" footer="0.3"/>
  <pageSetup scale="85" orientation="landscape" r:id="rId1"/>
  <headerFooter>
    <oddHeader>&amp;L&amp;"Arial,Bold"&amp;8 3:19 PM
&amp;"Helvetica,Regular"&amp;10 07/03/19
&amp;"Arial,Bold"&amp;8 Accrual Basis&amp;C&amp;"Helvetica,Regular"&amp;14 Textile Center of Minnesota
&amp;"Helvetica,Regular"&amp;18 Operating Statement of Activities - Detail
&amp;"Helvetica,Regular"&amp;12 June 2019</oddHeader>
    <oddFooter>&amp;R&amp;"Helvetica,Regular"&amp;10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Recap</vt:lpstr>
      <vt:lpstr>Balance Sheet</vt:lpstr>
      <vt:lpstr>Operating Summary</vt:lpstr>
      <vt:lpstr>Operating Stmt of Activities</vt:lpstr>
      <vt:lpstr>'Balance Sheet'!Print_Titles</vt:lpstr>
      <vt:lpstr>'Operating Stmt of Activities'!Print_Titles</vt:lpstr>
      <vt:lpstr>'Operating Summary'!Print_Titles</vt:lpstr>
    </vt:vector>
  </TitlesOfParts>
  <Company>TechGuru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Bookkeeping</dc:creator>
  <cp:lastModifiedBy>Microsoft Office User</cp:lastModifiedBy>
  <cp:lastPrinted>2019-07-09T20:32:49Z</cp:lastPrinted>
  <dcterms:created xsi:type="dcterms:W3CDTF">2019-06-24T17:44:48Z</dcterms:created>
  <dcterms:modified xsi:type="dcterms:W3CDTF">2019-07-09T21:43:34Z</dcterms:modified>
</cp:coreProperties>
</file>